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713" firstSheet="1" activeTab="5"/>
  </bookViews>
  <sheets>
    <sheet name="1 вариант - ЛСР по Методике 202" sheetId="1" r:id="rId1"/>
    <sheet name="2 вариант - ЛСР по Методике 202" sheetId="2" r:id="rId2"/>
    <sheet name="3 вариант - ЛСР по Методике 202" sheetId="7" r:id="rId3"/>
    <sheet name="4 вариант - ЛСР по Методике 202" sheetId="4" r:id="rId4"/>
    <sheet name="5 вариант - ЛСР по Методике 202" sheetId="5" r:id="rId5"/>
    <sheet name="6 вариант - ЛСР по Методике 202" sheetId="6" r:id="rId6"/>
  </sheets>
  <definedNames>
    <definedName name="_xlnm.Print_Titles" localSheetId="0">'1 вариант - ЛСР по Методике 202'!$38:$38</definedName>
    <definedName name="_xlnm.Print_Titles" localSheetId="1">'2 вариант - ЛСР по Методике 202'!$38:$38</definedName>
    <definedName name="_xlnm.Print_Titles" localSheetId="2">'3 вариант - ЛСР по Методике 202'!$38:$38</definedName>
    <definedName name="_xlnm.Print_Titles" localSheetId="3">'4 вариант - ЛСР по Методике 202'!$38:$38</definedName>
    <definedName name="_xlnm.Print_Titles" localSheetId="4">'5 вариант - ЛСР по Методике 202'!$38:$38</definedName>
    <definedName name="_xlnm.Print_Titles" localSheetId="5">'6 вариант - ЛСР по Методике 202'!$38:$38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5" i="7" l="1"/>
  <c r="K154" i="7"/>
  <c r="P148" i="7"/>
  <c r="P147" i="7"/>
  <c r="I143" i="7"/>
  <c r="P143" i="7" s="1"/>
  <c r="P144" i="7" s="1"/>
  <c r="I141" i="7"/>
  <c r="P141" i="7" s="1"/>
  <c r="P142" i="7" s="1"/>
  <c r="I139" i="7"/>
  <c r="P139" i="7" s="1"/>
  <c r="P140" i="7" s="1"/>
  <c r="P138" i="7"/>
  <c r="P137" i="7"/>
  <c r="I137" i="7"/>
  <c r="P133" i="7"/>
  <c r="P135" i="7" s="1"/>
  <c r="P132" i="7"/>
  <c r="I131" i="7"/>
  <c r="P127" i="7"/>
  <c r="P129" i="7" s="1"/>
  <c r="P126" i="7"/>
  <c r="I125" i="7"/>
  <c r="P123" i="7"/>
  <c r="P124" i="7" s="1"/>
  <c r="I123" i="7"/>
  <c r="P119" i="7"/>
  <c r="P121" i="7" s="1"/>
  <c r="P118" i="7"/>
  <c r="I117" i="7"/>
  <c r="P116" i="7"/>
  <c r="P115" i="7"/>
  <c r="I115" i="7"/>
  <c r="P114" i="7"/>
  <c r="P113" i="7"/>
  <c r="I113" i="7"/>
  <c r="P112" i="7"/>
  <c r="P111" i="7"/>
  <c r="I111" i="7"/>
  <c r="P107" i="7"/>
  <c r="P109" i="7" s="1"/>
  <c r="P106" i="7"/>
  <c r="I105" i="7"/>
  <c r="I103" i="7"/>
  <c r="P103" i="7" s="1"/>
  <c r="P104" i="7" s="1"/>
  <c r="P99" i="7"/>
  <c r="P101" i="7" s="1"/>
  <c r="P98" i="7"/>
  <c r="P95" i="7"/>
  <c r="P96" i="7" s="1"/>
  <c r="I95" i="7"/>
  <c r="P91" i="7"/>
  <c r="P93" i="7" s="1"/>
  <c r="P90" i="7"/>
  <c r="I89" i="7"/>
  <c r="P87" i="7"/>
  <c r="P88" i="7" s="1"/>
  <c r="I87" i="7"/>
  <c r="P85" i="7"/>
  <c r="P86" i="7" s="1"/>
  <c r="I85" i="7"/>
  <c r="P83" i="7"/>
  <c r="P81" i="7"/>
  <c r="P82" i="7" s="1"/>
  <c r="P80" i="7"/>
  <c r="P84" i="7" s="1"/>
  <c r="I79" i="7"/>
  <c r="P76" i="7"/>
  <c r="P75" i="7"/>
  <c r="P74" i="7"/>
  <c r="P73" i="7"/>
  <c r="P77" i="7" s="1"/>
  <c r="I72" i="7"/>
  <c r="P70" i="7"/>
  <c r="P69" i="7"/>
  <c r="P68" i="7"/>
  <c r="P67" i="7"/>
  <c r="P71" i="7" s="1"/>
  <c r="I66" i="7"/>
  <c r="P63" i="7"/>
  <c r="P62" i="7"/>
  <c r="P64" i="7" s="1"/>
  <c r="P60" i="7"/>
  <c r="I59" i="7"/>
  <c r="P55" i="7"/>
  <c r="P57" i="7" s="1"/>
  <c r="P54" i="7"/>
  <c r="I53" i="7"/>
  <c r="P49" i="7"/>
  <c r="P51" i="7" s="1"/>
  <c r="P48" i="7"/>
  <c r="I47" i="7"/>
  <c r="P43" i="7"/>
  <c r="P45" i="7" s="1"/>
  <c r="P42" i="7"/>
  <c r="I41" i="7"/>
  <c r="P136" i="7" l="1"/>
  <c r="P46" i="7"/>
  <c r="P151" i="7"/>
  <c r="P130" i="7"/>
  <c r="P149" i="7"/>
  <c r="P108" i="7"/>
  <c r="P110" i="7" s="1"/>
  <c r="P128" i="7"/>
  <c r="P134" i="7"/>
  <c r="P92" i="7"/>
  <c r="P94" i="7" s="1"/>
  <c r="P50" i="7"/>
  <c r="P52" i="7" s="1"/>
  <c r="P56" i="7"/>
  <c r="P58" i="7" s="1"/>
  <c r="P100" i="7"/>
  <c r="P102" i="7" s="1"/>
  <c r="P120" i="7"/>
  <c r="P122" i="7" s="1"/>
  <c r="P44" i="7"/>
  <c r="P150" i="7" l="1"/>
  <c r="P152" i="7" s="1"/>
  <c r="P45" i="6"/>
  <c r="P44" i="6"/>
  <c r="P46" i="6" s="1"/>
  <c r="P57" i="6"/>
  <c r="P70" i="6"/>
  <c r="P69" i="6"/>
  <c r="P83" i="6"/>
  <c r="P93" i="6"/>
  <c r="P92" i="6"/>
  <c r="P103" i="6"/>
  <c r="P104" i="6" s="1"/>
  <c r="P87" i="6"/>
  <c r="P88" i="6" s="1"/>
  <c r="P43" i="6"/>
  <c r="P109" i="6" s="1"/>
  <c r="P42" i="6"/>
  <c r="P49" i="6"/>
  <c r="P51" i="6" s="1"/>
  <c r="P48" i="6"/>
  <c r="P55" i="6"/>
  <c r="P56" i="6" s="1"/>
  <c r="P58" i="6" s="1"/>
  <c r="P54" i="6"/>
  <c r="P60" i="6"/>
  <c r="P68" i="6"/>
  <c r="P67" i="6"/>
  <c r="P74" i="6"/>
  <c r="P76" i="6" s="1"/>
  <c r="P73" i="6"/>
  <c r="P81" i="6"/>
  <c r="P82" i="6" s="1"/>
  <c r="P84" i="6" s="1"/>
  <c r="P80" i="6"/>
  <c r="P91" i="6"/>
  <c r="P90" i="6"/>
  <c r="P99" i="6"/>
  <c r="P101" i="6" s="1"/>
  <c r="P98" i="6"/>
  <c r="P108" i="6"/>
  <c r="P107" i="6"/>
  <c r="K115" i="6"/>
  <c r="K114" i="6"/>
  <c r="I103" i="6"/>
  <c r="I97" i="6"/>
  <c r="I95" i="6"/>
  <c r="P95" i="6" s="1"/>
  <c r="P96" i="6" s="1"/>
  <c r="I89" i="6"/>
  <c r="I87" i="6"/>
  <c r="I85" i="6"/>
  <c r="P85" i="6" s="1"/>
  <c r="P86" i="6" s="1"/>
  <c r="I79" i="6"/>
  <c r="I72" i="6"/>
  <c r="I66" i="6"/>
  <c r="I59" i="6"/>
  <c r="I53" i="6"/>
  <c r="I47" i="6"/>
  <c r="I41" i="6"/>
  <c r="P109" i="5"/>
  <c r="P108" i="5"/>
  <c r="P110" i="5" s="1"/>
  <c r="P83" i="5"/>
  <c r="P82" i="5"/>
  <c r="P84" i="5" s="1"/>
  <c r="P63" i="5"/>
  <c r="P62" i="5"/>
  <c r="P64" i="5" s="1"/>
  <c r="P45" i="5"/>
  <c r="P44" i="5"/>
  <c r="P46" i="5" s="1"/>
  <c r="P95" i="5"/>
  <c r="P96" i="5" s="1"/>
  <c r="P111" i="5"/>
  <c r="P112" i="5" s="1"/>
  <c r="P115" i="5"/>
  <c r="P116" i="5" s="1"/>
  <c r="P127" i="5"/>
  <c r="P128" i="5" s="1"/>
  <c r="P119" i="5"/>
  <c r="P121" i="5" s="1"/>
  <c r="P118" i="5"/>
  <c r="P107" i="5"/>
  <c r="P106" i="5"/>
  <c r="P99" i="5"/>
  <c r="P101" i="5" s="1"/>
  <c r="P98" i="5"/>
  <c r="P91" i="5"/>
  <c r="P93" i="5" s="1"/>
  <c r="P90" i="5"/>
  <c r="P81" i="5"/>
  <c r="P80" i="5"/>
  <c r="P74" i="5"/>
  <c r="P76" i="5" s="1"/>
  <c r="P73" i="5"/>
  <c r="P68" i="5"/>
  <c r="P70" i="5" s="1"/>
  <c r="P67" i="5"/>
  <c r="P60" i="5"/>
  <c r="P55" i="5"/>
  <c r="P57" i="5" s="1"/>
  <c r="P54" i="5"/>
  <c r="P49" i="5"/>
  <c r="P133" i="5" s="1"/>
  <c r="P48" i="5"/>
  <c r="P43" i="5"/>
  <c r="P42" i="5"/>
  <c r="I127" i="5"/>
  <c r="I125" i="5"/>
  <c r="P125" i="5" s="1"/>
  <c r="P126" i="5" s="1"/>
  <c r="I123" i="5"/>
  <c r="P123" i="5" s="1"/>
  <c r="P124" i="5" s="1"/>
  <c r="I117" i="5"/>
  <c r="I115" i="5"/>
  <c r="I113" i="5"/>
  <c r="P113" i="5" s="1"/>
  <c r="P114" i="5" s="1"/>
  <c r="I111" i="5"/>
  <c r="I105" i="5"/>
  <c r="I103" i="5"/>
  <c r="P103" i="5" s="1"/>
  <c r="P104" i="5" s="1"/>
  <c r="I97" i="5"/>
  <c r="I95" i="5"/>
  <c r="I89" i="5"/>
  <c r="I87" i="5"/>
  <c r="P87" i="5" s="1"/>
  <c r="P88" i="5" s="1"/>
  <c r="I85" i="5"/>
  <c r="P85" i="5" s="1"/>
  <c r="P86" i="5" s="1"/>
  <c r="I79" i="5"/>
  <c r="I72" i="5"/>
  <c r="I66" i="5"/>
  <c r="I59" i="5"/>
  <c r="I53" i="5"/>
  <c r="I47" i="5"/>
  <c r="I41" i="5"/>
  <c r="P63" i="4"/>
  <c r="P62" i="4"/>
  <c r="P51" i="4"/>
  <c r="P50" i="4"/>
  <c r="P52" i="4" s="1"/>
  <c r="P103" i="4"/>
  <c r="P104" i="4" s="1"/>
  <c r="P129" i="4"/>
  <c r="P130" i="4" s="1"/>
  <c r="P133" i="4"/>
  <c r="P134" i="4" s="1"/>
  <c r="P132" i="4"/>
  <c r="P123" i="4"/>
  <c r="P125" i="4" s="1"/>
  <c r="P122" i="4"/>
  <c r="P115" i="4"/>
  <c r="P117" i="4" s="1"/>
  <c r="P114" i="4"/>
  <c r="P107" i="4"/>
  <c r="P108" i="4" s="1"/>
  <c r="P106" i="4"/>
  <c r="P99" i="4"/>
  <c r="P101" i="4" s="1"/>
  <c r="P98" i="4"/>
  <c r="P91" i="4"/>
  <c r="P92" i="4" s="1"/>
  <c r="P90" i="4"/>
  <c r="P81" i="4"/>
  <c r="P82" i="4" s="1"/>
  <c r="P80" i="4"/>
  <c r="P74" i="4"/>
  <c r="P76" i="4" s="1"/>
  <c r="P73" i="4"/>
  <c r="P68" i="4"/>
  <c r="P69" i="4" s="1"/>
  <c r="P67" i="4"/>
  <c r="P60" i="4"/>
  <c r="P64" i="4" s="1"/>
  <c r="P55" i="4"/>
  <c r="P57" i="4" s="1"/>
  <c r="P54" i="4"/>
  <c r="P49" i="4"/>
  <c r="P48" i="4"/>
  <c r="P43" i="4"/>
  <c r="P45" i="4" s="1"/>
  <c r="P42" i="4"/>
  <c r="P142" i="4"/>
  <c r="P141" i="4"/>
  <c r="K149" i="4"/>
  <c r="K148" i="4"/>
  <c r="I137" i="4"/>
  <c r="P137" i="4" s="1"/>
  <c r="P138" i="4" s="1"/>
  <c r="I131" i="4"/>
  <c r="I129" i="4"/>
  <c r="I127" i="4"/>
  <c r="P127" i="4" s="1"/>
  <c r="P128" i="4" s="1"/>
  <c r="I121" i="4"/>
  <c r="I119" i="4"/>
  <c r="P119" i="4" s="1"/>
  <c r="P120" i="4" s="1"/>
  <c r="I113" i="4"/>
  <c r="I111" i="4"/>
  <c r="P111" i="4" s="1"/>
  <c r="P112" i="4" s="1"/>
  <c r="I105" i="4"/>
  <c r="I103" i="4"/>
  <c r="I97" i="4"/>
  <c r="I95" i="4"/>
  <c r="P95" i="4" s="1"/>
  <c r="P96" i="4" s="1"/>
  <c r="I89" i="4"/>
  <c r="I87" i="4"/>
  <c r="P87" i="4" s="1"/>
  <c r="P88" i="4" s="1"/>
  <c r="I85" i="4"/>
  <c r="P85" i="4" s="1"/>
  <c r="P86" i="4" s="1"/>
  <c r="I79" i="4"/>
  <c r="I72" i="4"/>
  <c r="I66" i="4"/>
  <c r="I59" i="4"/>
  <c r="I53" i="4"/>
  <c r="I47" i="4"/>
  <c r="I41" i="4"/>
  <c r="P138" i="2"/>
  <c r="P111" i="6" l="1"/>
  <c r="P94" i="6"/>
  <c r="P71" i="6"/>
  <c r="P100" i="6"/>
  <c r="P102" i="6" s="1"/>
  <c r="P75" i="6"/>
  <c r="P77" i="6" s="1"/>
  <c r="P50" i="6"/>
  <c r="P94" i="5"/>
  <c r="P92" i="5"/>
  <c r="P56" i="5"/>
  <c r="P58" i="5" s="1"/>
  <c r="P50" i="5"/>
  <c r="P69" i="5"/>
  <c r="P71" i="5" s="1"/>
  <c r="P120" i="5"/>
  <c r="P122" i="5" s="1"/>
  <c r="P51" i="5"/>
  <c r="P135" i="5" s="1"/>
  <c r="P75" i="5"/>
  <c r="P77" i="5" s="1"/>
  <c r="P100" i="5"/>
  <c r="P102" i="5" s="1"/>
  <c r="P71" i="4"/>
  <c r="P94" i="4"/>
  <c r="P136" i="4"/>
  <c r="P116" i="4"/>
  <c r="P118" i="4" s="1"/>
  <c r="P109" i="4"/>
  <c r="P110" i="4" s="1"/>
  <c r="P135" i="4"/>
  <c r="P56" i="4"/>
  <c r="P58" i="4" s="1"/>
  <c r="P70" i="4"/>
  <c r="P145" i="4" s="1"/>
  <c r="P93" i="4"/>
  <c r="P143" i="4"/>
  <c r="P83" i="4"/>
  <c r="P84" i="4" s="1"/>
  <c r="P75" i="4"/>
  <c r="P77" i="4" s="1"/>
  <c r="P100" i="4"/>
  <c r="P102" i="4" s="1"/>
  <c r="P124" i="4"/>
  <c r="P126" i="4" s="1"/>
  <c r="P44" i="4"/>
  <c r="P134" i="2"/>
  <c r="P133" i="2"/>
  <c r="K141" i="2"/>
  <c r="K140" i="2"/>
  <c r="P122" i="2"/>
  <c r="P95" i="2"/>
  <c r="P96" i="2" s="1"/>
  <c r="P119" i="2"/>
  <c r="P120" i="2" s="1"/>
  <c r="P117" i="2"/>
  <c r="P116" i="2"/>
  <c r="P118" i="2" s="1"/>
  <c r="P100" i="2"/>
  <c r="P93" i="2"/>
  <c r="P92" i="2"/>
  <c r="P76" i="2"/>
  <c r="P69" i="2"/>
  <c r="P63" i="2"/>
  <c r="P62" i="2"/>
  <c r="P64" i="2" s="1"/>
  <c r="P56" i="2"/>
  <c r="P45" i="2"/>
  <c r="P44" i="2"/>
  <c r="P123" i="2"/>
  <c r="P135" i="2" s="1"/>
  <c r="P115" i="2"/>
  <c r="P114" i="2"/>
  <c r="P107" i="2"/>
  <c r="P109" i="2" s="1"/>
  <c r="P106" i="2"/>
  <c r="P99" i="2"/>
  <c r="P101" i="2" s="1"/>
  <c r="P98" i="2"/>
  <c r="P91" i="2"/>
  <c r="P90" i="2"/>
  <c r="P81" i="2"/>
  <c r="P83" i="2" s="1"/>
  <c r="P80" i="2"/>
  <c r="P74" i="2"/>
  <c r="P75" i="2" s="1"/>
  <c r="P73" i="2"/>
  <c r="P77" i="2" s="1"/>
  <c r="P68" i="2"/>
  <c r="P70" i="2" s="1"/>
  <c r="P71" i="2" s="1"/>
  <c r="P67" i="2"/>
  <c r="P60" i="2"/>
  <c r="P55" i="2"/>
  <c r="P57" i="2" s="1"/>
  <c r="P54" i="2"/>
  <c r="P49" i="2"/>
  <c r="P51" i="2" s="1"/>
  <c r="P48" i="2"/>
  <c r="P43" i="2"/>
  <c r="P42" i="2"/>
  <c r="I129" i="2"/>
  <c r="P129" i="2" s="1"/>
  <c r="P130" i="2" s="1"/>
  <c r="I127" i="2"/>
  <c r="P127" i="2" s="1"/>
  <c r="P128" i="2" s="1"/>
  <c r="I121" i="2"/>
  <c r="I119" i="2"/>
  <c r="I113" i="2"/>
  <c r="I111" i="2"/>
  <c r="P111" i="2" s="1"/>
  <c r="P112" i="2" s="1"/>
  <c r="I105" i="2"/>
  <c r="I103" i="2"/>
  <c r="P103" i="2" s="1"/>
  <c r="P104" i="2" s="1"/>
  <c r="I97" i="2"/>
  <c r="I95" i="2"/>
  <c r="I89" i="2"/>
  <c r="I87" i="2"/>
  <c r="P87" i="2" s="1"/>
  <c r="P88" i="2" s="1"/>
  <c r="I85" i="2"/>
  <c r="P85" i="2" s="1"/>
  <c r="P86" i="2" s="1"/>
  <c r="I79" i="2"/>
  <c r="I72" i="2"/>
  <c r="I66" i="2"/>
  <c r="I59" i="2"/>
  <c r="I53" i="2"/>
  <c r="I47" i="2"/>
  <c r="I41" i="2"/>
  <c r="D31" i="1"/>
  <c r="D30" i="1"/>
  <c r="D28" i="1"/>
  <c r="P111" i="1"/>
  <c r="P112" i="1"/>
  <c r="P119" i="1"/>
  <c r="K121" i="1"/>
  <c r="K120" i="1"/>
  <c r="P113" i="1"/>
  <c r="P114" i="1"/>
  <c r="P89" i="1"/>
  <c r="P88" i="1"/>
  <c r="P63" i="1"/>
  <c r="P107" i="1"/>
  <c r="P108" i="1"/>
  <c r="P103" i="1"/>
  <c r="P105" i="1" s="1"/>
  <c r="P102" i="1"/>
  <c r="P94" i="1"/>
  <c r="P95" i="1"/>
  <c r="P96" i="1" s="1"/>
  <c r="P86" i="1"/>
  <c r="P87" i="1"/>
  <c r="P83" i="1"/>
  <c r="P84" i="1" s="1"/>
  <c r="P79" i="1"/>
  <c r="P81" i="1" s="1"/>
  <c r="P78" i="1"/>
  <c r="P69" i="1"/>
  <c r="P70" i="1" s="1"/>
  <c r="P68" i="1"/>
  <c r="P62" i="1"/>
  <c r="P64" i="1" s="1"/>
  <c r="P61" i="1"/>
  <c r="P56" i="1"/>
  <c r="P58" i="1" s="1"/>
  <c r="P55" i="1"/>
  <c r="P49" i="1"/>
  <c r="P50" i="1" s="1"/>
  <c r="P48" i="1"/>
  <c r="P42" i="1"/>
  <c r="P43" i="1"/>
  <c r="P45" i="1" s="1"/>
  <c r="I107" i="1"/>
  <c r="I101" i="1"/>
  <c r="I99" i="1"/>
  <c r="P99" i="1" s="1"/>
  <c r="P100" i="1" s="1"/>
  <c r="I93" i="1"/>
  <c r="I91" i="1"/>
  <c r="P91" i="1" s="1"/>
  <c r="P92" i="1" s="1"/>
  <c r="I85" i="1"/>
  <c r="I83" i="1"/>
  <c r="I77" i="1"/>
  <c r="I75" i="1"/>
  <c r="P75" i="1" s="1"/>
  <c r="P76" i="1" s="1"/>
  <c r="I73" i="1"/>
  <c r="P73" i="1" s="1"/>
  <c r="P74" i="1" s="1"/>
  <c r="I67" i="1"/>
  <c r="I60" i="1"/>
  <c r="I54" i="1"/>
  <c r="I47" i="1"/>
  <c r="I41" i="1"/>
  <c r="P52" i="6" l="1"/>
  <c r="P110" i="6"/>
  <c r="P112" i="6" s="1"/>
  <c r="P134" i="5"/>
  <c r="P136" i="5" s="1"/>
  <c r="P52" i="5"/>
  <c r="P46" i="4"/>
  <c r="P144" i="4"/>
  <c r="P146" i="4" s="1"/>
  <c r="P50" i="2"/>
  <c r="P52" i="2" s="1"/>
  <c r="P102" i="2"/>
  <c r="P124" i="2"/>
  <c r="P136" i="2" s="1"/>
  <c r="P125" i="2"/>
  <c r="P82" i="2"/>
  <c r="P84" i="2" s="1"/>
  <c r="P108" i="2"/>
  <c r="P110" i="2" s="1"/>
  <c r="P58" i="2"/>
  <c r="P46" i="2"/>
  <c r="P94" i="2"/>
  <c r="P52" i="1"/>
  <c r="P72" i="1"/>
  <c r="P98" i="1"/>
  <c r="P116" i="1"/>
  <c r="P51" i="1"/>
  <c r="P71" i="1"/>
  <c r="P44" i="1"/>
  <c r="P57" i="1"/>
  <c r="P59" i="1" s="1"/>
  <c r="P80" i="1"/>
  <c r="P82" i="1" s="1"/>
  <c r="P104" i="1"/>
  <c r="P106" i="1" s="1"/>
  <c r="P65" i="1"/>
  <c r="P97" i="1"/>
  <c r="P90" i="1"/>
  <c r="P126" i="2" l="1"/>
  <c r="P137" i="2"/>
  <c r="P115" i="1"/>
  <c r="P46" i="1"/>
</calcChain>
</file>

<file path=xl/sharedStrings.xml><?xml version="1.0" encoding="utf-8"?>
<sst xmlns="http://schemas.openxmlformats.org/spreadsheetml/2006/main" count="2304" uniqueCount="253">
  <si>
    <t>Приложение № 3</t>
  </si>
  <si>
    <t>Утверждено приказом № 421 от 4 августа 2020 г. Минстроя РФ в редакции приказа № 557 от 7 июля 2022 г.</t>
  </si>
  <si>
    <t>Наименование программного продукта</t>
  </si>
  <si>
    <t>ГРАНД-Смета, версия 2023.3</t>
  </si>
  <si>
    <t xml:space="preserve">Наименование редакции сметных нормативов 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</si>
  <si>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</si>
  <si>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</si>
  <si>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</si>
  <si>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</si>
  <si>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/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</si>
  <si>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</si>
  <si>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</si>
  <si>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</si>
  <si>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>50. Московская область</t>
  </si>
  <si>
    <t xml:space="preserve">Наименование зоны субъекта Российской Федерации </t>
  </si>
  <si>
    <t>(наименование стройки)</t>
  </si>
  <si>
    <t>(наименование объекта капитального строительства)</t>
  </si>
  <si>
    <t xml:space="preserve">ЛОКАЛЬНЫЙ СМЕТНЫЙ РАСЧЕТ (СМЕТА) № </t>
  </si>
  <si>
    <t>1 вариант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</si>
  <si>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</si>
  <si>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</si>
  <si>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</si>
  <si>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</si>
  <si>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</si>
  <si>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</si>
  <si>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уровне цен </t>
  </si>
  <si>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</si>
  <si>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</si>
  <si>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</si>
  <si>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</si>
  <si>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</si>
  <si>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</si>
  <si>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Средства на оплату труда машинистов</t>
  </si>
  <si>
    <t>оборудования</t>
  </si>
  <si>
    <t>Нормативные затраты труда рабочих</t>
  </si>
  <si>
    <t>чел.-ч.</t>
  </si>
  <si>
    <t>прочих затрат</t>
  </si>
  <si>
    <t>Нормативные затраты труда машинистов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</si>
  <si>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</si>
  <si>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</si>
  <si>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</si>
  <si>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</si>
  <si>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</si>
  <si>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</si>
  <si>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</si>
  <si>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</si>
  <si>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</si>
  <si>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</si>
  <si>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</si>
  <si>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</si>
  <si>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</si>
  <si>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Укрепление откосов насыпи автомобильной дороги гибкими бетонными плитами ПБЗГУ-405 (размер 2,785х1,260х0,150 м) при высоте насыпи 4,68м и протяженности участка 100 пм</t>
  </si>
  <si>
    <t>Земляные работы</t>
  </si>
  <si>
    <t>1</t>
  </si>
  <si>
    <t>ГЭСН01-02-057-01</t>
  </si>
  <si>
    <t>Разработка грунта вручную в траншеях глубиной до 2 м без креплений с откосами, группа грунтов: 1</t>
  </si>
  <si>
    <t>100 м3</t>
  </si>
  <si>
    <t>Итого прямые затраты</t>
  </si>
  <si>
    <t>ФОТ</t>
  </si>
  <si>
    <t>Пр/812-001.2-1</t>
  </si>
  <si>
    <t>НР Земляные работы, выполняемые ручным способом</t>
  </si>
  <si>
    <t>%</t>
  </si>
  <si>
    <t>Пр/774-001.2</t>
  </si>
  <si>
    <t>СП Земляные работы, выполняемые ручным способом</t>
  </si>
  <si>
    <t>Всего по позиции</t>
  </si>
  <si>
    <t>2</t>
  </si>
  <si>
    <t>ГЭСН01-02-061-01</t>
  </si>
  <si>
    <t>Засыпка вручную траншей, пазух котлованов и ям, группа грунтов: 1 /Обратная надвижка грунта на защитный фартук с дальнейшим разравниванием на прилегающей территории/</t>
  </si>
  <si>
    <t>Планировочные работы</t>
  </si>
  <si>
    <t>3</t>
  </si>
  <si>
    <t>ГЭСН01-01-109-01</t>
  </si>
  <si>
    <t>Планировка откосов выемок и насыпей экскаваторами, группа грунтов: 1-2</t>
  </si>
  <si>
    <t>1000 м2</t>
  </si>
  <si>
    <t>Пр/812-001.1-1</t>
  </si>
  <si>
    <t>НР Земляные работы, выполняемые механизированным способом</t>
  </si>
  <si>
    <t>Пр/774-001.1</t>
  </si>
  <si>
    <t>СП Земляные работы, выполняемые механизированным способом</t>
  </si>
  <si>
    <t>4</t>
  </si>
  <si>
    <t>ГЭСН01-02-005-01</t>
  </si>
  <si>
    <t>Уплотнение грунта пневматическими трамбовками, группа грунтов: 1-2 /глубина уплотнения 40 см/</t>
  </si>
  <si>
    <t>Укрепительные работы</t>
  </si>
  <si>
    <t>5</t>
  </si>
  <si>
    <t>ГЭСН01-02-040-01</t>
  </si>
  <si>
    <t>Укрепление откосов земляных сооружений посевом многолетних трав: с подсыпкой растительной земли вручную</t>
  </si>
  <si>
    <t>100 м2</t>
  </si>
  <si>
    <t>Пр/812-001.4-1</t>
  </si>
  <si>
    <t>НР Земляные работы, выполняемые по другим видам работ (подготовительным, сопутствующим, укрепительным)</t>
  </si>
  <si>
    <t>Пр/774-001.4</t>
  </si>
  <si>
    <t>СП Земляные работы, выполняемые по другим видам работ (подготовительным, сопутствующим, укрепительным)</t>
  </si>
  <si>
    <t>6</t>
  </si>
  <si>
    <t>ФСБЦ-16.2.02.07-0161</t>
  </si>
  <si>
    <t>Семена газонных трав (смесь Городская)</t>
  </si>
  <si>
    <t>кг</t>
  </si>
  <si>
    <t>7</t>
  </si>
  <si>
    <t>ФСБЦ-16.2.01.02-0001</t>
  </si>
  <si>
    <t>Земля растительная</t>
  </si>
  <si>
    <t>м3</t>
  </si>
  <si>
    <t>8</t>
  </si>
  <si>
    <t>ГЭСН27-04-016-02</t>
  </si>
  <si>
    <t>Устройство прослойки из нетканого синтетического материала (НСМ) под покрытием из сборных железобетонных плит: сплошной</t>
  </si>
  <si>
    <t>Пр/812-021.0-1</t>
  </si>
  <si>
    <t>НР Автомобильные дороги</t>
  </si>
  <si>
    <t>Пр/774-021.0</t>
  </si>
  <si>
    <t>СП Автомобильные дороги</t>
  </si>
  <si>
    <t>9</t>
  </si>
  <si>
    <t>ФСБЦ-01.7.12.05-1008</t>
  </si>
  <si>
    <t>Геополотно нетканое полипропиленовое, иглопробивное, термоскрепленное, поверхностная плотность 300 г/м2</t>
  </si>
  <si>
    <t>м2</t>
  </si>
  <si>
    <t>10</t>
  </si>
  <si>
    <t>ГЭСН42-01-017-02</t>
  </si>
  <si>
    <t>Крепление откосов разрезными плитами массой: до 4 т, толщиной 20 см</t>
  </si>
  <si>
    <t>Пр/812-036-1</t>
  </si>
  <si>
    <t>НР Берегоукрепительные работы</t>
  </si>
  <si>
    <t>Пр/774-036.0</t>
  </si>
  <si>
    <t>СП Берегоукрепительные работы</t>
  </si>
  <si>
    <t>11</t>
  </si>
  <si>
    <t>ТЦ_05.2.00.00_36_3666101624_28.11.2023_02</t>
  </si>
  <si>
    <t>Гибкая бетонная плита ПБЗГУ® - 405 (ГБП-1-150А по ГОСТ Р 58411-2019)</t>
  </si>
  <si>
    <t>шт.</t>
  </si>
  <si>
    <t>12</t>
  </si>
  <si>
    <t>ГЭСНм08-02-471-02</t>
  </si>
  <si>
    <t>Установка анкера грунтового /прим./</t>
  </si>
  <si>
    <t>10 шт</t>
  </si>
  <si>
    <t>Пр/812-049.3-1</t>
  </si>
  <si>
    <t>НР Электротехнические установки на других объектах</t>
  </si>
  <si>
    <t>Пр/774-049.3</t>
  </si>
  <si>
    <t>СП Электротехнические установки на других объектах</t>
  </si>
  <si>
    <t>13</t>
  </si>
  <si>
    <t>ТЦ_08.4.01.01_36_3666101624_29.11.2023_02</t>
  </si>
  <si>
    <t>Анкер грунтовой АГ 1,5-20 по ТУ 25.11.23.119-004-59565714-2017</t>
  </si>
  <si>
    <t>14</t>
  </si>
  <si>
    <t>ГЭСН08-01-002-02</t>
  </si>
  <si>
    <t>Расклинцовка промежутков между блоками плит (прим.)</t>
  </si>
  <si>
    <t>Пр/812-008.0-1</t>
  </si>
  <si>
    <t>НР Конструкции из кирпича и блоков</t>
  </si>
  <si>
    <t>Пр/774-008.0</t>
  </si>
  <si>
    <t>СП Конструкции из кирпича и блоков</t>
  </si>
  <si>
    <t>15</t>
  </si>
  <si>
    <t>ФСБЦ-02.2.05.04-2022</t>
  </si>
  <si>
    <t>Щебень из плотных горных пород для строительных работ М 400, фракция 5(3)-20 мм</t>
  </si>
  <si>
    <t>Итоги по смете:</t>
  </si>
  <si>
    <t xml:space="preserve">     Всего прямые затраты (справочно)</t>
  </si>
  <si>
    <t xml:space="preserve">     Строительные работы</t>
  </si>
  <si>
    <t xml:space="preserve">     Монтажные работы</t>
  </si>
  <si>
    <t xml:space="preserve">     Всего ФОТ (справочно)</t>
  </si>
  <si>
    <t xml:space="preserve">     Всего накладные расходы (справочно)</t>
  </si>
  <si>
    <t xml:space="preserve">     Всего сметная прибыль (справочно)</t>
  </si>
  <si>
    <t>ВСЕГО по смете</t>
  </si>
  <si>
    <t xml:space="preserve">  Справочно</t>
  </si>
  <si>
    <t xml:space="preserve">       материальные ресурсы, отсутствующие в ФРСН</t>
  </si>
  <si>
    <t xml:space="preserve">       затраты труда рабочих</t>
  </si>
  <si>
    <t xml:space="preserve">       затраты труда машинистов</t>
  </si>
  <si>
    <t>Составил:</t>
  </si>
  <si>
    <t>[должность, подпись (инициалы, фамилия)]</t>
  </si>
  <si>
    <t>Проверил:</t>
  </si>
  <si>
    <t>1. Зарегистрирован Министерством юстиции Российской Федерации 10 сентября 2019 г., регистрационный № 55869), с изменениями, внесенными приказом Министерства строительства и жилищно-коммунального хозяйства Российской Федерации от 20 февраля 2021 г. № 79/пр (зарегистрирован Министерством юстиции Российской Федерации 9 августа 2021 г., регистрационный № 64577)</t>
  </si>
  <si>
    <t>² Под прочими затратами понимаются затраты, учитываемые в соответствии с пунктом 184 Методики.</t>
  </si>
  <si>
    <t>³ Под прочими работами понимаются затраты, учитываемые в соответствии с пунктами 122-128 Методики.</t>
  </si>
  <si>
    <t>2 вариант</t>
  </si>
  <si>
    <t>Раздел 1. Укрепление откосов насыпи автомобильной дороги бетонными плитами П-2 (размер 1,0х1,0х0,160 м) при высоте насыпи 4,68м и протяженности участка 100 пм</t>
  </si>
  <si>
    <t>ГЭСН01-01-010-25</t>
  </si>
  <si>
    <t>Разработка грунта в отвал экскаваторами, вместимость ковша 0,65 (0,5-1) м3, группа грунтов: 1</t>
  </si>
  <si>
    <t>1000 м3</t>
  </si>
  <si>
    <t>Засыпка вручную траншей, пазух котлованов и ям, группа грунтов: 1</t>
  </si>
  <si>
    <t>ГЭСН01-01-030-05</t>
  </si>
  <si>
    <t>Разработка грунта с перемещением до 10 м бульдозерами мощностью: 79 кВт (108 л.с.), группа грунтов 1</t>
  </si>
  <si>
    <t>Уплотнение грунта пневматическими трамбовками, группа грунтов: 1-2(глубина уплотнения 40 см)</t>
  </si>
  <si>
    <t>ФСБЦ-01.7.12.05-1006</t>
  </si>
  <si>
    <t>Геополотно нетканое полипропиленовое, иглопробивное, термоскрепленное, поверхностная плотность 250 г/м2</t>
  </si>
  <si>
    <t>Устройство основания под фундаменты: щебеночного</t>
  </si>
  <si>
    <t>ФСБЦ-02.2.05.04-2088</t>
  </si>
  <si>
    <t>Щебень из плотных горных пород для строительных работ М 600, фракция 20-40 мм</t>
  </si>
  <si>
    <t>ГЭСН06-04-001-01</t>
  </si>
  <si>
    <t>Устройство стен подвалов и подпорных стен: бетонных /Установка сборного бетонного упора У-2.  Размер упора 0,40х0,50х2,0 м. Бетон B20, F 200. Объем бетона 0,4 м3/</t>
  </si>
  <si>
    <t>Пр/812-006.0-1</t>
  </si>
  <si>
    <t>НР Бетонные и железобетонные монолитные конструкции и работы в строительстве</t>
  </si>
  <si>
    <t>Пр/774-006.0</t>
  </si>
  <si>
    <t>СП Бетонные и железобетонные монолитные конструкции и работы в строительстве</t>
  </si>
  <si>
    <t>ФСБЦ-04.1.02.05-0007</t>
  </si>
  <si>
    <t>Смеси бетонные тяжелого бетона (БСТ), класс В20 (М250)</t>
  </si>
  <si>
    <t>16</t>
  </si>
  <si>
    <t>ГЭСН42-01-004-04</t>
  </si>
  <si>
    <t>Крепление откосов камнем насухо из каменной наброски</t>
  </si>
  <si>
    <t>17</t>
  </si>
  <si>
    <t>ФСБЦ-02.2.03.01-0008</t>
  </si>
  <si>
    <t>Камень бутовый М 400, размер от 70 до 1000 мм</t>
  </si>
  <si>
    <t>18</t>
  </si>
  <si>
    <t>ГЭСН01-02-046-03</t>
  </si>
  <si>
    <t>Укрепление откосов земляного полотна бетонными: сборными плитами при толщине до 16 см</t>
  </si>
  <si>
    <t>19</t>
  </si>
  <si>
    <t>20</t>
  </si>
  <si>
    <t>ФСБЦ-05.1.08.06-0112</t>
  </si>
  <si>
    <t>Плиты тротуарные железобетонные, бетон В25, расход арматуры от 200 до 250 кг/м3</t>
  </si>
  <si>
    <t>3 вариант</t>
  </si>
  <si>
    <t>Раздел 1. Укрепление откосов насыпи автомобильной дороги монолитным бетоном толщиной 0,16м при высоте насыпи 4,68м и протяженности участка 100 пм</t>
  </si>
  <si>
    <t>Устройство стен подвалов и подпорных стен: бетонных</t>
  </si>
  <si>
    <t>ГЭСН01-02-046-05</t>
  </si>
  <si>
    <t>Укрепление откосов земляного полотна бетонными: монолитными плитами при толщине до 10 см</t>
  </si>
  <si>
    <t>ГЭСН01-02-046-06</t>
  </si>
  <si>
    <t>Укрепление откосов земляного полотна бетонными: на каждый 1 см изменения толщины добавлять к норме 01-02-046-05</t>
  </si>
  <si>
    <t>21</t>
  </si>
  <si>
    <t>ФСБЦ-04.1.02.05-0012</t>
  </si>
  <si>
    <t>Смеси бетонные тяжелого бетона (БСТ), класс В35 (М450)</t>
  </si>
  <si>
    <t>4 вариант</t>
  </si>
  <si>
    <t>Раздел 1. Укрепление откосов насыпи автомобильной дороги георешетчатыми конструкциями Polimat 1210 толщиной 0,17м при высоте насыпи 4,68м и протяженности участка 100 пм</t>
  </si>
  <si>
    <t>ГЭСН27-06-074-01</t>
  </si>
  <si>
    <t>Усиление ослабленного основания пространственными георешетками высотой 0,2 м /прим. откосов/</t>
  </si>
  <si>
    <t>ФСБЦ-01.7.12.07-0120</t>
  </si>
  <si>
    <t>Георешетка объемная из полиэтиленовых лент, с перфорацией, размеры ячейки 210х210 мм, высота ячейки 200 мм</t>
  </si>
  <si>
    <t>ФСБЦ-02.2.05.04-2104</t>
  </si>
  <si>
    <t>Щебень из плотных горных пород для строительных работ М 600, фракция 40-80(70) мм</t>
  </si>
  <si>
    <t>Устройство защитного слоя над георешеткой</t>
  </si>
  <si>
    <t>22</t>
  </si>
  <si>
    <t>ФСБЦ-02.2.05.04-2056</t>
  </si>
  <si>
    <t>Щебень из плотных горных пород для строительных работ М 600, фракция 10-20 мм</t>
  </si>
  <si>
    <t>5 вариант</t>
  </si>
  <si>
    <t>Раздел 1. Укрепление откосов насыпи автодороги габионными конструкциями - матрацами "Рено" (размеры 3,0х2,0х0,17м и 4,0х2,0х0,17м) при высоте насыпи 4,68м и протяженности участка 100 пм</t>
  </si>
  <si>
    <t>ГЭСН08-01-002-01</t>
  </si>
  <si>
    <t>Устройство основания под фундаменты: песчаного /Устройство песчаной подготовки под матрацы "Рено" и упорные габионы толщиной 0,20 м/</t>
  </si>
  <si>
    <t>ФСБЦ-02.3.01.02-1118</t>
  </si>
  <si>
    <t>Песок природный для строительных работ II класс, средний</t>
  </si>
  <si>
    <t>ГЭСН30-08-047-01</t>
  </si>
  <si>
    <t>Устройство подпорных стенок из габионных конструкций, собираемых из проволочной сетки</t>
  </si>
  <si>
    <t>10 м3</t>
  </si>
  <si>
    <t>Пр/812-024.0-1</t>
  </si>
  <si>
    <t>НР Мосты и трубы</t>
  </si>
  <si>
    <t>Пр/774-024.0</t>
  </si>
  <si>
    <t>СП Мосты и трубы</t>
  </si>
  <si>
    <t>ФСБЦ-02.2.04.03-0003</t>
  </si>
  <si>
    <t>Смесь песчано-гравийная природная</t>
  </si>
  <si>
    <t>ФСБЦ-02.2.03.01-0010</t>
  </si>
  <si>
    <t>Камень бутовый М 600, размер от 150 до 500 мм</t>
  </si>
  <si>
    <t>ФСБЦ-08.1.01.02-0001</t>
  </si>
  <si>
    <t>Конструкции габионные сетчатые, тип ГСИ-М, из оцинкованной проволоки диаметром 2,7 мм двойного кручения, с шестигранными ячейками размером 80х100 мм</t>
  </si>
  <si>
    <t>т</t>
  </si>
  <si>
    <t>ГЭСН30-08-048-01</t>
  </si>
  <si>
    <t>Укрепление поверхности матрасно-габионными конструкциями</t>
  </si>
  <si>
    <t>10 м2</t>
  </si>
  <si>
    <t>6 вариант</t>
  </si>
  <si>
    <t>Крепление откосов камнем насухо из каменной наброски /Устройство упорной призмы из щебня, камня/</t>
  </si>
  <si>
    <t>Крепление откосов камнем насухо из каменной наброски /Устройство каменной наброски по откосу насыпи/</t>
  </si>
  <si>
    <t>ФСБЦ-02.2.05.04-2120</t>
  </si>
  <si>
    <t>Щебень из плотных горных пород для строительных работ М 600, фракция 80(70)-120 мм</t>
  </si>
  <si>
    <t xml:space="preserve">Площадь укрепления </t>
  </si>
  <si>
    <t>м.п.</t>
  </si>
  <si>
    <t>05-06-1-01-0050</t>
  </si>
  <si>
    <t>Перевозка грузов I класса автобетоносмесителями объемом барабана до 6 м3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50 км</t>
  </si>
  <si>
    <t>05-06-1-01-0020</t>
  </si>
  <si>
    <t>Перевозка грузов I класса автобетоносмесителями объемом барабана до 6 м3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20 км</t>
  </si>
  <si>
    <t>23</t>
  </si>
  <si>
    <t>24</t>
  </si>
  <si>
    <t>25</t>
  </si>
  <si>
    <t>Раздел 1. Укрепление откосов насыпи автомобильной дороги каменной наброской, протяженность участка 100 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</si>
</sst>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00"/>
  </numFmts>
  <fonts count="12" x14ac:knownFonts="1">
    <font>
      <sz val="11"/>
      <name val="Calibri"/>
      <charset val="1"/>
    </font>
    <font>
      <sz val="8"/>
      <color rgb="FF000000"/>
      <name val="Arial"/>
      <charset val="204"/>
    </font>
    <font>
      <sz val="8"/>
      <color rgb="FFFFFFFF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b/>
      <sz val="8"/>
      <name val="Arial"/>
      <charset val="204"/>
    </font>
    <font>
      <b/>
      <sz val="8"/>
      <color rgb="FF000000"/>
      <name val="Arial"/>
      <charset val="204"/>
    </font>
    <font>
      <i/>
      <sz val="8"/>
      <color rgb="FFFFFFFF"/>
      <name val="Arial"/>
      <charset val="204"/>
    </font>
    <font>
      <sz val="8"/>
      <name val="Arial"/>
      <family val="2"/>
      <charset val="204"/>
    </font>
    <font>
      <sz val="11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vertical="top"/>
    </xf>
    <xf numFmtId="49" fontId="4" fillId="0" borderId="3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6" fillId="0" borderId="0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 vertical="top"/>
    </xf>
    <xf numFmtId="49" fontId="5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4" fontId="4" fillId="0" borderId="1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/>
    <xf numFmtId="2" fontId="4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4" fontId="4" fillId="0" borderId="2" xfId="0" applyNumberFormat="1" applyFont="1" applyFill="1" applyBorder="1" applyAlignment="1" applyProtection="1">
      <alignment horizontal="right"/>
    </xf>
    <xf numFmtId="2" fontId="4" fillId="0" borderId="2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left"/>
    </xf>
    <xf numFmtId="2" fontId="4" fillId="0" borderId="0" xfId="0" applyNumberFormat="1" applyFont="1" applyFill="1" applyBorder="1" applyAlignment="1" applyProtection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wrapText="1"/>
    </xf>
    <xf numFmtId="49" fontId="8" fillId="0" borderId="5" xfId="0" applyNumberFormat="1" applyFont="1" applyFill="1" applyBorder="1" applyAlignment="1" applyProtection="1">
      <alignment horizontal="center" vertical="top" wrapText="1"/>
    </xf>
    <xf numFmtId="49" fontId="8" fillId="0" borderId="3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 wrapText="1"/>
    </xf>
    <xf numFmtId="1" fontId="8" fillId="0" borderId="3" xfId="0" applyNumberFormat="1" applyFont="1" applyFill="1" applyBorder="1" applyAlignment="1" applyProtection="1">
      <alignment horizontal="center" vertical="top" wrapText="1"/>
    </xf>
    <xf numFmtId="2" fontId="8" fillId="0" borderId="3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 vertical="top" wrapText="1"/>
    </xf>
    <xf numFmtId="4" fontId="8" fillId="0" borderId="3" xfId="0" applyNumberFormat="1" applyFont="1" applyFill="1" applyBorder="1" applyAlignment="1" applyProtection="1">
      <alignment horizontal="right" vertical="top" wrapText="1"/>
    </xf>
    <xf numFmtId="4" fontId="8" fillId="0" borderId="6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/>
    <xf numFmtId="49" fontId="4" fillId="0" borderId="7" xfId="0" applyNumberFormat="1" applyFont="1" applyFill="1" applyBorder="1" applyAlignment="1" applyProtection="1">
      <alignment horizontal="right" vertical="top" wrapText="1"/>
    </xf>
    <xf numFmtId="49" fontId="4" fillId="0" borderId="0" xfId="0" applyNumberFormat="1" applyFont="1" applyFill="1" applyBorder="1" applyAlignment="1" applyProtection="1">
      <alignment horizontal="right" vertical="top" wrapText="1"/>
    </xf>
    <xf numFmtId="49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right" vertical="top" wrapText="1"/>
    </xf>
    <xf numFmtId="4" fontId="4" fillId="0" borderId="8" xfId="0" applyNumberFormat="1" applyFont="1" applyFill="1" applyBorder="1" applyAlignment="1" applyProtection="1">
      <alignment horizontal="right" vertical="top" wrapText="1"/>
    </xf>
    <xf numFmtId="1" fontId="4" fillId="0" borderId="0" xfId="0" applyNumberFormat="1" applyFont="1" applyFill="1" applyBorder="1" applyAlignment="1" applyProtection="1">
      <alignment horizontal="center" vertical="top" wrapText="1"/>
    </xf>
    <xf numFmtId="49" fontId="8" fillId="0" borderId="7" xfId="0" applyNumberFormat="1" applyFont="1" applyFill="1" applyBorder="1" applyAlignment="1" applyProtection="1">
      <alignment horizontal="center"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  <xf numFmtId="2" fontId="4" fillId="0" borderId="8" xfId="0" applyNumberFormat="1" applyFont="1" applyFill="1" applyBorder="1" applyAlignment="1" applyProtection="1">
      <alignment horizontal="right" vertical="top" wrapText="1"/>
    </xf>
    <xf numFmtId="164" fontId="8" fillId="0" borderId="3" xfId="0" applyNumberFormat="1" applyFont="1" applyFill="1" applyBorder="1" applyAlignment="1" applyProtection="1">
      <alignment horizontal="center" vertical="top" wrapText="1"/>
    </xf>
    <xf numFmtId="2" fontId="8" fillId="0" borderId="3" xfId="0" applyNumberFormat="1" applyFont="1" applyFill="1" applyBorder="1" applyAlignment="1" applyProtection="1">
      <alignment horizontal="right" vertical="top" wrapText="1"/>
    </xf>
    <xf numFmtId="2" fontId="8" fillId="0" borderId="6" xfId="0" applyNumberFormat="1" applyFont="1" applyFill="1" applyBorder="1" applyAlignment="1" applyProtection="1">
      <alignment horizontal="right" vertical="top" wrapText="1"/>
    </xf>
    <xf numFmtId="165" fontId="8" fillId="0" borderId="3" xfId="0" applyNumberFormat="1" applyFont="1" applyFill="1" applyBorder="1" applyAlignment="1" applyProtection="1">
      <alignment horizontal="center" vertical="top" wrapText="1"/>
    </xf>
    <xf numFmtId="49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49" fontId="8" fillId="0" borderId="0" xfId="0" applyNumberFormat="1" applyFont="1" applyFill="1" applyBorder="1" applyAlignment="1" applyProtection="1">
      <alignment horizontal="right" vertical="top" wrapText="1"/>
    </xf>
    <xf numFmtId="0" fontId="8" fillId="0" borderId="8" xfId="0" applyNumberFormat="1" applyFont="1" applyFill="1" applyBorder="1" applyAlignment="1" applyProtection="1">
      <alignment horizontal="right" vertical="top"/>
    </xf>
    <xf numFmtId="4" fontId="1" fillId="0" borderId="8" xfId="0" applyNumberFormat="1" applyFont="1" applyFill="1" applyBorder="1" applyAlignment="1" applyProtection="1">
      <alignment horizontal="right" vertical="top"/>
    </xf>
    <xf numFmtId="4" fontId="8" fillId="0" borderId="8" xfId="0" applyNumberFormat="1" applyFont="1" applyFill="1" applyBorder="1" applyAlignment="1" applyProtection="1">
      <alignment horizontal="right" vertical="top"/>
    </xf>
    <xf numFmtId="0" fontId="1" fillId="0" borderId="8" xfId="0" applyNumberFormat="1" applyFont="1" applyFill="1" applyBorder="1" applyAlignment="1" applyProtection="1"/>
    <xf numFmtId="166" fontId="1" fillId="0" borderId="0" xfId="0" applyNumberFormat="1" applyFont="1" applyFill="1" applyBorder="1" applyAlignment="1" applyProtection="1">
      <alignment horizontal="right" vertical="top"/>
    </xf>
    <xf numFmtId="0" fontId="1" fillId="0" borderId="8" xfId="0" applyNumberFormat="1" applyFont="1" applyFill="1" applyBorder="1" applyAlignment="1" applyProtection="1">
      <alignment horizontal="right" vertical="top"/>
    </xf>
    <xf numFmtId="167" fontId="1" fillId="0" borderId="0" xfId="0" applyNumberFormat="1" applyFont="1" applyFill="1" applyBorder="1" applyAlignment="1" applyProtection="1">
      <alignment horizontal="right" vertical="top"/>
    </xf>
    <xf numFmtId="4" fontId="8" fillId="0" borderId="0" xfId="0" applyNumberFormat="1" applyFont="1" applyFill="1" applyBorder="1" applyAlignment="1" applyProtection="1">
      <alignment horizontal="right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3" fontId="8" fillId="0" borderId="0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8" xfId="0" applyNumberFormat="1" applyFont="1" applyFill="1" applyBorder="1" applyAlignment="1" applyProtection="1">
      <alignment horizontal="right" vertical="top" wrapText="1"/>
    </xf>
    <xf numFmtId="165" fontId="1" fillId="0" borderId="0" xfId="0" applyNumberFormat="1" applyFont="1" applyFill="1" applyBorder="1" applyAlignment="1" applyProtection="1">
      <alignment horizontal="right" vertical="top"/>
    </xf>
    <xf numFmtId="4" fontId="4" fillId="0" borderId="0" xfId="0" applyNumberFormat="1" applyFont="1" applyFill="1" applyBorder="1" applyAlignment="1" applyProtection="1">
      <alignment horizontal="right"/>
    </xf>
    <xf numFmtId="4" fontId="4" fillId="0" borderId="8" xfId="0" applyNumberFormat="1" applyFont="1" applyFill="1" applyBorder="1" applyAlignment="1" applyProtection="1">
      <alignment horizontal="right" vertical="top" wrapText="1"/>
    </xf>
    <xf numFmtId="4" fontId="8" fillId="0" borderId="6" xfId="0" applyNumberFormat="1" applyFont="1" applyFill="1" applyBorder="1" applyAlignment="1" applyProtection="1">
      <alignment horizontal="right" vertical="top" wrapText="1"/>
    </xf>
    <xf numFmtId="4" fontId="1" fillId="0" borderId="8" xfId="0" applyNumberFormat="1" applyFont="1" applyFill="1" applyBorder="1" applyAlignment="1" applyProtection="1">
      <alignment horizontal="right" vertical="top"/>
    </xf>
    <xf numFmtId="4" fontId="8" fillId="0" borderId="8" xfId="0" applyNumberFormat="1" applyFont="1" applyFill="1" applyBorder="1" applyAlignment="1" applyProtection="1">
      <alignment horizontal="right" vertical="top"/>
    </xf>
    <xf numFmtId="4" fontId="8" fillId="0" borderId="0" xfId="0" applyNumberFormat="1" applyFont="1" applyFill="1" applyBorder="1" applyAlignment="1" applyProtection="1">
      <alignment horizontal="right" vertical="top"/>
    </xf>
    <xf numFmtId="2" fontId="4" fillId="2" borderId="2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horizontal="center" vertical="top"/>
    </xf>
    <xf numFmtId="4" fontId="6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wrapText="1"/>
    </xf>
    <xf numFmtId="4" fontId="5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>
      <alignment horizontal="left" vertical="top"/>
    </xf>
    <xf numFmtId="4" fontId="4" fillId="0" borderId="0" xfId="0" applyNumberFormat="1" applyFont="1" applyFill="1" applyBorder="1" applyAlignment="1" applyProtection="1">
      <alignment horizontal="left"/>
    </xf>
    <xf numFmtId="4" fontId="4" fillId="2" borderId="1" xfId="0" applyNumberFormat="1" applyFont="1" applyFill="1" applyBorder="1" applyAlignment="1" applyProtection="1">
      <alignment horizontal="left" vertical="center"/>
    </xf>
    <xf numFmtId="4" fontId="1" fillId="0" borderId="4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right" vertical="top" wrapText="1"/>
    </xf>
    <xf numFmtId="4" fontId="1" fillId="0" borderId="8" xfId="0" applyNumberFormat="1" applyFont="1" applyFill="1" applyBorder="1" applyAlignment="1" applyProtection="1"/>
    <xf numFmtId="4" fontId="1" fillId="0" borderId="3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>
      <alignment vertical="top"/>
    </xf>
    <xf numFmtId="4" fontId="1" fillId="0" borderId="0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49" fontId="1" fillId="0" borderId="0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>
      <alignment horizontal="right"/>
    </xf>
    <xf numFmtId="0" fontId="3" fillId="0" borderId="0" xfId="1"/>
    <xf numFmtId="49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wrapText="1"/>
    </xf>
    <xf numFmtId="49" fontId="2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vertical="top"/>
    </xf>
    <xf numFmtId="49" fontId="4" fillId="0" borderId="3" xfId="1" applyNumberFormat="1" applyFont="1" applyFill="1" applyBorder="1" applyAlignment="1" applyProtection="1">
      <alignment vertical="top"/>
    </xf>
    <xf numFmtId="49" fontId="5" fillId="0" borderId="0" xfId="1" applyNumberFormat="1" applyFont="1" applyFill="1" applyBorder="1" applyAlignment="1" applyProtection="1">
      <alignment horizontal="center" vertical="top"/>
    </xf>
    <xf numFmtId="49" fontId="6" fillId="0" borderId="0" xfId="1" applyNumberFormat="1" applyFont="1" applyFill="1" applyBorder="1" applyAlignment="1" applyProtection="1">
      <alignment horizontal="center"/>
    </xf>
    <xf numFmtId="49" fontId="1" fillId="0" borderId="1" xfId="1" applyNumberFormat="1" applyFont="1" applyFill="1" applyBorder="1" applyAlignment="1" applyProtection="1">
      <alignment horizontal="center"/>
    </xf>
    <xf numFmtId="49" fontId="4" fillId="0" borderId="0" xfId="1" applyNumberFormat="1" applyFont="1" applyFill="1" applyBorder="1" applyAlignment="1" applyProtection="1">
      <alignment wrapText="1"/>
    </xf>
    <xf numFmtId="49" fontId="5" fillId="0" borderId="0" xfId="1" applyNumberFormat="1" applyFont="1" applyFill="1" applyBorder="1" applyAlignment="1" applyProtection="1"/>
    <xf numFmtId="49" fontId="1" fillId="0" borderId="0" xfId="1" applyNumberFormat="1" applyFont="1" applyFill="1" applyBorder="1" applyAlignment="1" applyProtection="1">
      <alignment horizontal="right" vertical="top"/>
    </xf>
    <xf numFmtId="49" fontId="5" fillId="0" borderId="0" xfId="1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/>
    <xf numFmtId="0" fontId="4" fillId="0" borderId="3" xfId="1" applyNumberFormat="1" applyFont="1" applyFill="1" applyBorder="1" applyAlignment="1" applyProtection="1"/>
    <xf numFmtId="0" fontId="4" fillId="0" borderId="3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1" fillId="0" borderId="1" xfId="1" applyNumberFormat="1" applyFont="1" applyFill="1" applyBorder="1" applyAlignment="1" applyProtection="1"/>
    <xf numFmtId="4" fontId="4" fillId="0" borderId="1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/>
    <xf numFmtId="2" fontId="4" fillId="0" borderId="0" xfId="1" applyNumberFormat="1" applyFont="1" applyFill="1" applyBorder="1" applyAlignment="1" applyProtection="1"/>
    <xf numFmtId="49" fontId="1" fillId="0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Border="1" applyAlignment="1" applyProtection="1"/>
    <xf numFmtId="2" fontId="4" fillId="0" borderId="1" xfId="1" applyNumberFormat="1" applyFont="1" applyFill="1" applyBorder="1" applyAlignment="1" applyProtection="1"/>
    <xf numFmtId="0" fontId="1" fillId="0" borderId="2" xfId="1" applyNumberFormat="1" applyFont="1" applyFill="1" applyBorder="1" applyAlignment="1" applyProtection="1"/>
    <xf numFmtId="4" fontId="4" fillId="0" borderId="2" xfId="1" applyNumberFormat="1" applyFont="1" applyFill="1" applyBorder="1" applyAlignment="1" applyProtection="1">
      <alignment horizontal="right"/>
    </xf>
    <xf numFmtId="2" fontId="4" fillId="0" borderId="2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left"/>
    </xf>
    <xf numFmtId="2" fontId="4" fillId="0" borderId="0" xfId="1" applyNumberFormat="1" applyFont="1" applyFill="1" applyBorder="1" applyAlignment="1" applyProtection="1">
      <alignment horizontal="right"/>
    </xf>
    <xf numFmtId="0" fontId="10" fillId="2" borderId="2" xfId="2" applyNumberFormat="1" applyFont="1" applyFill="1" applyBorder="1" applyAlignment="1" applyProtection="1">
      <alignment horizontal="left" vertical="center" wrapText="1"/>
    </xf>
    <xf numFmtId="2" fontId="4" fillId="2" borderId="2" xfId="2" applyNumberFormat="1" applyFont="1" applyFill="1" applyBorder="1" applyAlignment="1" applyProtection="1">
      <alignment horizontal="right" vertical="center" wrapText="1"/>
    </xf>
    <xf numFmtId="4" fontId="4" fillId="2" borderId="1" xfId="2" applyNumberFormat="1" applyFont="1" applyFill="1" applyBorder="1" applyAlignment="1" applyProtection="1">
      <alignment horizontal="left" vertical="center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49" fontId="1" fillId="0" borderId="4" xfId="1" applyNumberFormat="1" applyFont="1" applyFill="1" applyBorder="1" applyAlignment="1" applyProtection="1">
      <alignment horizontal="center" vertical="center"/>
    </xf>
    <xf numFmtId="0" fontId="1" fillId="0" borderId="4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wrapText="1"/>
    </xf>
    <xf numFmtId="49" fontId="8" fillId="0" borderId="5" xfId="1" applyNumberFormat="1" applyFont="1" applyFill="1" applyBorder="1" applyAlignment="1" applyProtection="1">
      <alignment horizontal="center" vertical="top" wrapText="1"/>
    </xf>
    <xf numFmtId="49" fontId="8" fillId="0" borderId="3" xfId="1" applyNumberFormat="1" applyFont="1" applyFill="1" applyBorder="1" applyAlignment="1" applyProtection="1">
      <alignment horizontal="left" vertical="top" wrapText="1"/>
    </xf>
    <xf numFmtId="49" fontId="8" fillId="0" borderId="3" xfId="1" applyNumberFormat="1" applyFont="1" applyFill="1" applyBorder="1" applyAlignment="1" applyProtection="1">
      <alignment horizontal="center" vertical="top" wrapText="1"/>
    </xf>
    <xf numFmtId="0" fontId="8" fillId="0" borderId="3" xfId="1" applyNumberFormat="1" applyFont="1" applyFill="1" applyBorder="1" applyAlignment="1" applyProtection="1">
      <alignment horizontal="center" vertical="top" wrapText="1"/>
    </xf>
    <xf numFmtId="1" fontId="8" fillId="0" borderId="3" xfId="1" applyNumberFormat="1" applyFont="1" applyFill="1" applyBorder="1" applyAlignment="1" applyProtection="1">
      <alignment horizontal="center" vertical="top" wrapText="1"/>
    </xf>
    <xf numFmtId="165" fontId="8" fillId="0" borderId="3" xfId="1" applyNumberFormat="1" applyFont="1" applyFill="1" applyBorder="1" applyAlignment="1" applyProtection="1">
      <alignment horizontal="center" vertical="top" wrapText="1"/>
    </xf>
    <xf numFmtId="0" fontId="8" fillId="0" borderId="3" xfId="1" applyNumberFormat="1" applyFont="1" applyFill="1" applyBorder="1" applyAlignment="1" applyProtection="1">
      <alignment horizontal="right" vertical="top" wrapText="1"/>
    </xf>
    <xf numFmtId="0" fontId="8" fillId="0" borderId="6" xfId="1" applyNumberFormat="1" applyFont="1" applyFill="1" applyBorder="1" applyAlignment="1" applyProtection="1">
      <alignment horizontal="right" vertical="top" wrapText="1"/>
    </xf>
    <xf numFmtId="49" fontId="1" fillId="0" borderId="7" xfId="1" applyNumberFormat="1" applyFont="1" applyFill="1" applyBorder="1" applyAlignment="1" applyProtection="1"/>
    <xf numFmtId="49" fontId="1" fillId="0" borderId="0" xfId="1" applyNumberFormat="1" applyFont="1" applyFill="1" applyBorder="1" applyAlignment="1" applyProtection="1">
      <alignment horizontal="right" vertical="top" wrapText="1"/>
    </xf>
    <xf numFmtId="4" fontId="8" fillId="0" borderId="3" xfId="1" applyNumberFormat="1" applyFont="1" applyFill="1" applyBorder="1" applyAlignment="1" applyProtection="1">
      <alignment horizontal="right" vertical="top" wrapText="1"/>
    </xf>
    <xf numFmtId="4" fontId="8" fillId="0" borderId="6" xfId="1" applyNumberFormat="1" applyFont="1" applyFill="1" applyBorder="1" applyAlignment="1" applyProtection="1">
      <alignment horizontal="right" vertical="top" wrapText="1"/>
    </xf>
    <xf numFmtId="0" fontId="9" fillId="0" borderId="0" xfId="1" applyNumberFormat="1" applyFont="1" applyFill="1" applyBorder="1" applyAlignment="1" applyProtection="1"/>
    <xf numFmtId="49" fontId="4" fillId="0" borderId="7" xfId="1" applyNumberFormat="1" applyFont="1" applyFill="1" applyBorder="1" applyAlignment="1" applyProtection="1">
      <alignment horizontal="right" vertical="top" wrapText="1"/>
    </xf>
    <xf numFmtId="49" fontId="4" fillId="0" borderId="0" xfId="1" applyNumberFormat="1" applyFont="1" applyFill="1" applyBorder="1" applyAlignment="1" applyProtection="1">
      <alignment horizontal="right" vertical="top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NumberFormat="1" applyFont="1" applyFill="1" applyBorder="1" applyAlignment="1" applyProtection="1">
      <alignment horizontal="right" vertical="top" wrapText="1"/>
    </xf>
    <xf numFmtId="2" fontId="4" fillId="0" borderId="8" xfId="1" applyNumberFormat="1" applyFont="1" applyFill="1" applyBorder="1" applyAlignment="1" applyProtection="1">
      <alignment horizontal="right" vertical="top" wrapText="1"/>
    </xf>
    <xf numFmtId="1" fontId="4" fillId="0" borderId="0" xfId="1" applyNumberFormat="1" applyFont="1" applyFill="1" applyBorder="1" applyAlignment="1" applyProtection="1">
      <alignment horizontal="center" vertical="top" wrapText="1"/>
    </xf>
    <xf numFmtId="4" fontId="4" fillId="0" borderId="8" xfId="1" applyNumberFormat="1" applyFont="1" applyFill="1" applyBorder="1" applyAlignment="1" applyProtection="1">
      <alignment horizontal="right" vertical="top" wrapText="1"/>
    </xf>
    <xf numFmtId="49" fontId="8" fillId="0" borderId="7" xfId="1" applyNumberFormat="1" applyFont="1" applyFill="1" applyBorder="1" applyAlignment="1" applyProtection="1">
      <alignment horizontal="center" vertical="top" wrapText="1"/>
    </xf>
    <xf numFmtId="49" fontId="8" fillId="0" borderId="0" xfId="1" applyNumberFormat="1" applyFont="1" applyFill="1" applyBorder="1" applyAlignment="1" applyProtection="1">
      <alignment horizontal="left" vertical="top" wrapText="1"/>
    </xf>
    <xf numFmtId="2" fontId="8" fillId="0" borderId="3" xfId="1" applyNumberFormat="1" applyFont="1" applyFill="1" applyBorder="1" applyAlignment="1" applyProtection="1">
      <alignment horizontal="center" vertical="top" wrapText="1"/>
    </xf>
    <xf numFmtId="0" fontId="4" fillId="0" borderId="8" xfId="1" applyNumberFormat="1" applyFont="1" applyFill="1" applyBorder="1" applyAlignment="1" applyProtection="1">
      <alignment horizontal="right" vertical="top" wrapText="1"/>
    </xf>
    <xf numFmtId="164" fontId="8" fillId="0" borderId="3" xfId="1" applyNumberFormat="1" applyFont="1" applyFill="1" applyBorder="1" applyAlignment="1" applyProtection="1">
      <alignment horizontal="center" vertical="top" wrapText="1"/>
    </xf>
    <xf numFmtId="2" fontId="8" fillId="0" borderId="3" xfId="1" applyNumberFormat="1" applyFont="1" applyFill="1" applyBorder="1" applyAlignment="1" applyProtection="1">
      <alignment horizontal="right" vertical="top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NumberFormat="1" applyFont="1" applyFill="1" applyBorder="1" applyAlignment="1" applyProtection="1">
      <alignment horizontal="left" vertical="top" wrapText="1"/>
    </xf>
    <xf numFmtId="0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NumberFormat="1" applyFont="1" applyFill="1" applyBorder="1" applyAlignment="1" applyProtection="1">
      <alignment horizontal="right" vertical="top" wrapText="1"/>
    </xf>
    <xf numFmtId="0" fontId="1" fillId="0" borderId="0" xfId="1" applyNumberFormat="1" applyFont="1" applyFill="1" applyBorder="1" applyAlignment="1" applyProtection="1">
      <alignment horizontal="center" vertical="top" wrapText="1"/>
    </xf>
    <xf numFmtId="49" fontId="8" fillId="0" borderId="0" xfId="1" applyNumberFormat="1" applyFont="1" applyFill="1" applyBorder="1" applyAlignment="1" applyProtection="1">
      <alignment horizontal="right" vertical="top" wrapText="1"/>
    </xf>
    <xf numFmtId="0" fontId="8" fillId="0" borderId="8" xfId="1" applyNumberFormat="1" applyFont="1" applyFill="1" applyBorder="1" applyAlignment="1" applyProtection="1">
      <alignment horizontal="right" vertical="top"/>
    </xf>
    <xf numFmtId="4" fontId="1" fillId="0" borderId="8" xfId="1" applyNumberFormat="1" applyFont="1" applyFill="1" applyBorder="1" applyAlignment="1" applyProtection="1">
      <alignment horizontal="right" vertical="top"/>
    </xf>
    <xf numFmtId="0" fontId="1" fillId="0" borderId="0" xfId="1" applyNumberFormat="1" applyFont="1" applyFill="1" applyBorder="1" applyAlignment="1" applyProtection="1">
      <alignment wrapText="1"/>
    </xf>
    <xf numFmtId="4" fontId="8" fillId="0" borderId="8" xfId="1" applyNumberFormat="1" applyFont="1" applyFill="1" applyBorder="1" applyAlignment="1" applyProtection="1">
      <alignment horizontal="right" vertical="top"/>
    </xf>
    <xf numFmtId="0" fontId="1" fillId="0" borderId="8" xfId="1" applyNumberFormat="1" applyFont="1" applyFill="1" applyBorder="1" applyAlignment="1" applyProtection="1"/>
    <xf numFmtId="167" fontId="1" fillId="0" borderId="0" xfId="1" applyNumberFormat="1" applyFont="1" applyFill="1" applyBorder="1" applyAlignment="1" applyProtection="1">
      <alignment horizontal="right" vertical="top"/>
    </xf>
    <xf numFmtId="0" fontId="1" fillId="0" borderId="8" xfId="1" applyNumberFormat="1" applyFont="1" applyFill="1" applyBorder="1" applyAlignment="1" applyProtection="1">
      <alignment horizontal="right" vertical="top"/>
    </xf>
    <xf numFmtId="166" fontId="1" fillId="0" borderId="0" xfId="1" applyNumberFormat="1" applyFont="1" applyFill="1" applyBorder="1" applyAlignment="1" applyProtection="1">
      <alignment horizontal="right" vertical="top"/>
    </xf>
    <xf numFmtId="4" fontId="8" fillId="0" borderId="0" xfId="1" applyNumberFormat="1" applyFont="1" applyFill="1" applyBorder="1" applyAlignment="1" applyProtection="1">
      <alignment horizontal="right" vertical="top"/>
    </xf>
    <xf numFmtId="2" fontId="8" fillId="0" borderId="0" xfId="1" applyNumberFormat="1" applyFont="1" applyFill="1" applyBorder="1" applyAlignment="1" applyProtection="1">
      <alignment horizontal="center" vertical="top"/>
    </xf>
    <xf numFmtId="3" fontId="8" fillId="0" borderId="0" xfId="1" applyNumberFormat="1" applyFont="1" applyFill="1" applyBorder="1" applyAlignment="1" applyProtection="1">
      <alignment horizontal="right" vertical="top"/>
    </xf>
    <xf numFmtId="49" fontId="1" fillId="0" borderId="3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 wrapText="1"/>
    </xf>
    <xf numFmtId="0" fontId="1" fillId="0" borderId="0" xfId="1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49" fontId="8" fillId="0" borderId="11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top"/>
    </xf>
    <xf numFmtId="49" fontId="4" fillId="0" borderId="1" xfId="0" applyNumberFormat="1" applyFont="1" applyFill="1" applyBorder="1" applyAlignment="1" applyProtection="1">
      <alignment horizontal="left" wrapText="1"/>
    </xf>
    <xf numFmtId="49" fontId="5" fillId="0" borderId="3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49" fontId="6" fillId="0" borderId="0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1" fillId="0" borderId="0" xfId="1" applyNumberFormat="1" applyFont="1" applyFill="1" applyBorder="1" applyAlignment="1" applyProtection="1">
      <alignment horizontal="left" vertical="top" wrapText="1"/>
    </xf>
    <xf numFmtId="0" fontId="1" fillId="0" borderId="0" xfId="1" applyNumberFormat="1" applyFont="1" applyFill="1" applyBorder="1" applyAlignment="1" applyProtection="1">
      <alignment horizontal="left" vertical="top"/>
    </xf>
    <xf numFmtId="49" fontId="1" fillId="0" borderId="0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vertical="top" wrapText="1"/>
    </xf>
    <xf numFmtId="49" fontId="4" fillId="0" borderId="1" xfId="1" applyNumberFormat="1" applyFont="1" applyFill="1" applyBorder="1" applyAlignment="1" applyProtection="1">
      <alignment horizontal="right" vertical="top" wrapText="1"/>
    </xf>
    <xf numFmtId="0" fontId="5" fillId="0" borderId="3" xfId="1" applyNumberFormat="1" applyFont="1" applyFill="1" applyBorder="1" applyAlignment="1" applyProtection="1">
      <alignment horizontal="center" vertical="top"/>
    </xf>
    <xf numFmtId="49" fontId="8" fillId="0" borderId="0" xfId="1" applyNumberFormat="1" applyFont="1" applyFill="1" applyBorder="1" applyAlignment="1" applyProtection="1">
      <alignment horizontal="left" vertical="top" wrapText="1"/>
    </xf>
    <xf numFmtId="49" fontId="1" fillId="0" borderId="0" xfId="1" applyNumberFormat="1" applyFont="1" applyFill="1" applyBorder="1" applyAlignment="1" applyProtection="1">
      <alignment vertical="top" wrapText="1"/>
    </xf>
    <xf numFmtId="49" fontId="8" fillId="0" borderId="3" xfId="1" applyNumberFormat="1" applyFont="1" applyFill="1" applyBorder="1" applyAlignment="1" applyProtection="1">
      <alignment horizontal="left" vertical="top" wrapText="1"/>
    </xf>
    <xf numFmtId="0" fontId="8" fillId="0" borderId="3" xfId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top" wrapText="1"/>
    </xf>
    <xf numFmtId="49" fontId="8" fillId="0" borderId="11" xfId="1" applyNumberFormat="1" applyFont="1" applyFill="1" applyBorder="1" applyAlignment="1" applyProtection="1">
      <alignment horizontal="left" vertical="center" wrapText="1"/>
    </xf>
    <xf numFmtId="49" fontId="8" fillId="0" borderId="2" xfId="1" applyNumberFormat="1" applyFont="1" applyFill="1" applyBorder="1" applyAlignment="1" applyProtection="1">
      <alignment horizontal="left" vertical="center" wrapText="1"/>
    </xf>
    <xf numFmtId="49" fontId="8" fillId="0" borderId="12" xfId="1" applyNumberFormat="1" applyFont="1" applyFill="1" applyBorder="1" applyAlignment="1" applyProtection="1">
      <alignment horizontal="left" vertical="center" wrapText="1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center" wrapText="1"/>
    </xf>
    <xf numFmtId="0" fontId="1" fillId="0" borderId="6" xfId="1" applyNumberFormat="1" applyFont="1" applyFill="1" applyBorder="1" applyAlignment="1" applyProtection="1">
      <alignment horizontal="center" vertical="center" wrapText="1"/>
    </xf>
    <xf numFmtId="0" fontId="1" fillId="0" borderId="9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0" xfId="1" applyNumberFormat="1" applyFont="1" applyFill="1" applyBorder="1" applyAlignment="1" applyProtection="1">
      <alignment horizontal="center" vertical="center" wrapText="1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2" xfId="1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Fill="1" applyBorder="1" applyAlignment="1" applyProtection="1">
      <alignment horizontal="center" vertical="center"/>
    </xf>
    <xf numFmtId="49" fontId="5" fillId="0" borderId="3" xfId="1" applyNumberFormat="1" applyFont="1" applyFill="1" applyBorder="1" applyAlignment="1" applyProtection="1">
      <alignment horizontal="center"/>
    </xf>
    <xf numFmtId="0" fontId="4" fillId="0" borderId="1" xfId="1" applyNumberFormat="1" applyFont="1" applyFill="1" applyBorder="1" applyAlignment="1" applyProtection="1">
      <alignment wrapText="1"/>
    </xf>
    <xf numFmtId="49" fontId="1" fillId="0" borderId="4" xfId="1" applyNumberFormat="1" applyFont="1" applyFill="1" applyBorder="1" applyAlignment="1" applyProtection="1">
      <alignment horizontal="center" vertical="center" wrapText="1"/>
    </xf>
    <xf numFmtId="0" fontId="1" fillId="0" borderId="7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1" fillId="0" borderId="8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wrapText="1"/>
    </xf>
    <xf numFmtId="49" fontId="5" fillId="0" borderId="3" xfId="1" applyNumberFormat="1" applyFont="1" applyFill="1" applyBorder="1" applyAlignment="1" applyProtection="1">
      <alignment horizontal="center" vertical="top"/>
    </xf>
    <xf numFmtId="49" fontId="6" fillId="0" borderId="0" xfId="1" applyNumberFormat="1" applyFont="1" applyFill="1" applyBorder="1" applyAlignment="1" applyProtection="1">
      <alignment horizontal="center"/>
    </xf>
    <xf numFmtId="49" fontId="4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horizontal="left" wrapText="1"/>
    </xf>
    <xf numFmtId="0" fontId="4" fillId="0" borderId="0" xfId="1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left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7"/>
  <sheetViews>
    <sheetView topLeftCell="A89" workbookViewId="0">
      <selection activeCell="P73" sqref="P73:P74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17" customWidth="1"/>
    <col min="17" max="17" width="75.28515625" style="2" hidden="1" customWidth="1"/>
    <col min="18" max="18" width="126.5703125" style="2" hidden="1" customWidth="1"/>
    <col min="19" max="26" width="9.140625" style="1"/>
    <col min="27" max="33" width="127.28515625" style="3" hidden="1" customWidth="1"/>
    <col min="34" max="36" width="203.42578125" style="3" hidden="1" customWidth="1"/>
    <col min="37" max="37" width="66.42578125" style="3" hidden="1" customWidth="1"/>
    <col min="38" max="38" width="45.7109375" style="3" hidden="1" customWidth="1"/>
    <col min="39" max="40" width="203.42578125" style="3" hidden="1" customWidth="1"/>
    <col min="41" max="44" width="51.85546875" style="3" hidden="1" customWidth="1"/>
    <col min="45" max="49" width="156" style="3" hidden="1" customWidth="1"/>
    <col min="50" max="50" width="84.28515625" style="3" hidden="1" customWidth="1"/>
    <col min="51" max="51" width="61.140625" style="3" hidden="1" customWidth="1"/>
    <col min="52" max="52" width="82" style="3" hidden="1" customWidth="1"/>
    <col min="53" max="53" width="61.140625" style="3" hidden="1" customWidth="1"/>
    <col min="54" max="54" width="82" style="3" hidden="1" customWidth="1"/>
    <col min="55" max="16384" width="9.140625" style="1"/>
  </cols>
  <sheetData>
    <row r="1" spans="1:35" s="4" customFormat="1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94" t="s">
        <v>0</v>
      </c>
    </row>
    <row r="2" spans="1:35" s="4" customFormat="1" ht="1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94" t="s">
        <v>1</v>
      </c>
    </row>
    <row r="3" spans="1:35" s="4" customFormat="1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94"/>
    </row>
    <row r="4" spans="1:35" s="4" customFormat="1" ht="12.75" customHeight="1" x14ac:dyDescent="0.25">
      <c r="A4" s="223" t="s">
        <v>2</v>
      </c>
      <c r="B4" s="223"/>
      <c r="C4" s="223"/>
      <c r="D4" s="223"/>
      <c r="E4" s="223"/>
      <c r="F4" s="223"/>
      <c r="G4" s="250" t="s">
        <v>3</v>
      </c>
      <c r="H4" s="250"/>
      <c r="I4" s="250"/>
      <c r="J4" s="250"/>
      <c r="K4" s="250"/>
      <c r="L4" s="250"/>
      <c r="M4" s="250"/>
      <c r="N4" s="250"/>
      <c r="O4" s="250"/>
      <c r="P4" s="250"/>
    </row>
    <row r="5" spans="1:35" s="4" customFormat="1" ht="22.5" customHeight="1" x14ac:dyDescent="0.25">
      <c r="A5" s="223" t="s">
        <v>4</v>
      </c>
      <c r="B5" s="223"/>
      <c r="C5" s="223"/>
      <c r="D5" s="223"/>
      <c r="E5" s="223"/>
      <c r="F5" s="223"/>
      <c r="G5" s="248" t="s">
        <v>5</v>
      </c>
      <c r="H5" s="248"/>
      <c r="I5" s="248"/>
      <c r="J5" s="248"/>
      <c r="K5" s="248"/>
      <c r="L5" s="248"/>
      <c r="M5" s="248"/>
      <c r="N5" s="248"/>
      <c r="O5" s="248"/>
      <c r="P5" s="248"/>
      <c r="AA5" s="8" t="s">
        <v>5</v>
      </c>
    </row>
    <row r="6" spans="1:35" s="4" customFormat="1" ht="45" customHeight="1" x14ac:dyDescent="0.25">
      <c r="A6" s="223" t="s">
        <v>6</v>
      </c>
      <c r="B6" s="223"/>
      <c r="C6" s="223"/>
      <c r="D6" s="223"/>
      <c r="E6" s="223"/>
      <c r="F6" s="223"/>
      <c r="G6" s="248" t="s">
        <v>7</v>
      </c>
      <c r="H6" s="248"/>
      <c r="I6" s="248"/>
      <c r="J6" s="248"/>
      <c r="K6" s="248"/>
      <c r="L6" s="248"/>
      <c r="M6" s="248"/>
      <c r="N6" s="248"/>
      <c r="O6" s="248"/>
      <c r="P6" s="248"/>
      <c r="AB6" s="8" t="s">
        <v>7</v>
      </c>
    </row>
    <row r="7" spans="1:35" s="4" customFormat="1" ht="67.5" customHeight="1" x14ac:dyDescent="0.25">
      <c r="A7" s="249" t="s">
        <v>8</v>
      </c>
      <c r="B7" s="249"/>
      <c r="C7" s="249"/>
      <c r="D7" s="249"/>
      <c r="E7" s="249"/>
      <c r="F7" s="249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9" t="s">
        <v>8</v>
      </c>
      <c r="R7" s="10"/>
      <c r="S7" s="8"/>
      <c r="T7" s="8"/>
      <c r="U7" s="8"/>
      <c r="V7" s="8"/>
      <c r="W7" s="8"/>
      <c r="X7" s="8"/>
      <c r="Y7" s="8"/>
      <c r="Z7" s="8"/>
      <c r="AC7" s="8" t="s">
        <v>9</v>
      </c>
    </row>
    <row r="8" spans="1:35" s="4" customFormat="1" ht="33.75" customHeight="1" x14ac:dyDescent="0.25">
      <c r="A8" s="223" t="s">
        <v>10</v>
      </c>
      <c r="B8" s="223"/>
      <c r="C8" s="223"/>
      <c r="D8" s="223"/>
      <c r="E8" s="223"/>
      <c r="F8" s="223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9" t="s">
        <v>10</v>
      </c>
      <c r="R8" s="10"/>
      <c r="S8" s="8"/>
      <c r="T8" s="8"/>
      <c r="U8" s="8"/>
      <c r="V8" s="8"/>
      <c r="W8" s="8"/>
      <c r="X8" s="8"/>
      <c r="Y8" s="8"/>
      <c r="Z8" s="8"/>
      <c r="AD8" s="8" t="s">
        <v>9</v>
      </c>
    </row>
    <row r="9" spans="1:35" s="4" customFormat="1" ht="11.25" customHeight="1" x14ac:dyDescent="0.25">
      <c r="A9" s="223" t="s">
        <v>11</v>
      </c>
      <c r="B9" s="223"/>
      <c r="C9" s="223"/>
      <c r="D9" s="223"/>
      <c r="E9" s="223"/>
      <c r="F9" s="223"/>
      <c r="G9" s="248"/>
      <c r="H9" s="248"/>
      <c r="I9" s="248"/>
      <c r="J9" s="248"/>
      <c r="K9" s="248"/>
      <c r="L9" s="248"/>
      <c r="M9" s="248"/>
      <c r="N9" s="248"/>
      <c r="O9" s="248"/>
      <c r="P9" s="248"/>
      <c r="AE9" s="8" t="s">
        <v>9</v>
      </c>
    </row>
    <row r="10" spans="1:35" s="4" customFormat="1" ht="11.25" customHeight="1" x14ac:dyDescent="0.25">
      <c r="A10" s="223" t="s">
        <v>12</v>
      </c>
      <c r="B10" s="223"/>
      <c r="C10" s="223"/>
      <c r="D10" s="223"/>
      <c r="E10" s="223"/>
      <c r="F10" s="223"/>
      <c r="G10" s="248" t="s">
        <v>13</v>
      </c>
      <c r="H10" s="248"/>
      <c r="I10" s="248"/>
      <c r="J10" s="248"/>
      <c r="K10" s="248"/>
      <c r="L10" s="248"/>
      <c r="M10" s="248"/>
      <c r="N10" s="248"/>
      <c r="O10" s="248"/>
      <c r="P10" s="248"/>
      <c r="R10" s="2" t="s">
        <v>13</v>
      </c>
      <c r="AF10" s="8" t="s">
        <v>13</v>
      </c>
    </row>
    <row r="11" spans="1:35" s="4" customFormat="1" ht="15" x14ac:dyDescent="0.25">
      <c r="A11" s="223" t="s">
        <v>14</v>
      </c>
      <c r="B11" s="223"/>
      <c r="C11" s="223"/>
      <c r="D11" s="223"/>
      <c r="E11" s="223"/>
      <c r="F11" s="223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AG11" s="8" t="s">
        <v>9</v>
      </c>
    </row>
    <row r="12" spans="1:35" s="4" customFormat="1" ht="6" customHeight="1" x14ac:dyDescent="0.25">
      <c r="A12" s="11"/>
      <c r="B12" s="7"/>
      <c r="C12" s="7"/>
      <c r="D12" s="7"/>
      <c r="E12" s="7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01"/>
    </row>
    <row r="13" spans="1:35" s="4" customFormat="1" ht="15" x14ac:dyDescent="0.25">
      <c r="A13" s="246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AH13" s="8" t="s">
        <v>9</v>
      </c>
    </row>
    <row r="14" spans="1:35" s="4" customFormat="1" ht="15" customHeight="1" x14ac:dyDescent="0.25">
      <c r="A14" s="231" t="s">
        <v>15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</row>
    <row r="15" spans="1:35" s="4" customFormat="1" ht="6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02"/>
    </row>
    <row r="16" spans="1:35" s="4" customFormat="1" ht="15" x14ac:dyDescent="0.25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AI16" s="8" t="s">
        <v>9</v>
      </c>
    </row>
    <row r="17" spans="1:38" s="4" customFormat="1" ht="15" x14ac:dyDescent="0.25">
      <c r="A17" s="231" t="s">
        <v>16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</row>
    <row r="18" spans="1:38" s="4" customFormat="1" ht="17.25" customHeight="1" x14ac:dyDescent="0.25">
      <c r="A18" s="247" t="s">
        <v>17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38" s="4" customFormat="1" ht="8.2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03"/>
    </row>
    <row r="20" spans="1:38" s="4" customFormat="1" ht="15" x14ac:dyDescent="0.25">
      <c r="A20" s="246" t="s">
        <v>18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AJ20" s="8" t="s">
        <v>18</v>
      </c>
    </row>
    <row r="21" spans="1:38" s="4" customFormat="1" ht="11.25" customHeight="1" x14ac:dyDescent="0.25">
      <c r="A21" s="231" t="s">
        <v>19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</row>
    <row r="22" spans="1:38" s="4" customFormat="1" ht="12" customHeight="1" x14ac:dyDescent="0.25">
      <c r="A22" s="7" t="s">
        <v>20</v>
      </c>
      <c r="B22" s="16" t="s">
        <v>21</v>
      </c>
      <c r="C22" s="5" t="s">
        <v>22</v>
      </c>
      <c r="D22" s="5"/>
      <c r="E22" s="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04"/>
    </row>
    <row r="23" spans="1:38" s="4" customFormat="1" ht="15" x14ac:dyDescent="0.25">
      <c r="A23" s="7" t="s">
        <v>23</v>
      </c>
      <c r="B23" s="232"/>
      <c r="C23" s="232"/>
      <c r="D23" s="232"/>
      <c r="E23" s="232"/>
      <c r="F23" s="232"/>
      <c r="G23" s="17"/>
      <c r="H23" s="17"/>
      <c r="I23" s="17"/>
      <c r="J23" s="17"/>
      <c r="K23" s="17"/>
      <c r="L23" s="17"/>
      <c r="M23" s="17"/>
      <c r="N23" s="17"/>
      <c r="O23" s="17"/>
      <c r="P23" s="104"/>
      <c r="AK23" s="8" t="s">
        <v>9</v>
      </c>
    </row>
    <row r="24" spans="1:38" s="4" customFormat="1" ht="10.5" customHeight="1" x14ac:dyDescent="0.25">
      <c r="A24" s="7"/>
      <c r="B24" s="233" t="s">
        <v>24</v>
      </c>
      <c r="C24" s="233"/>
      <c r="D24" s="233"/>
      <c r="E24" s="233"/>
      <c r="F24" s="233"/>
      <c r="G24" s="18"/>
      <c r="H24" s="18"/>
      <c r="I24" s="18"/>
      <c r="J24" s="18"/>
      <c r="K24" s="18"/>
      <c r="L24" s="18"/>
      <c r="M24" s="18"/>
      <c r="N24" s="18"/>
      <c r="O24" s="19"/>
      <c r="P24" s="105"/>
    </row>
    <row r="25" spans="1:38" s="4" customFormat="1" ht="9.75" customHeight="1" x14ac:dyDescent="0.25">
      <c r="A25" s="7"/>
      <c r="B25" s="7"/>
      <c r="C25" s="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8"/>
      <c r="P25" s="105"/>
    </row>
    <row r="26" spans="1:38" s="4" customFormat="1" ht="15" x14ac:dyDescent="0.25">
      <c r="A26" s="21" t="s">
        <v>25</v>
      </c>
      <c r="B26" s="22"/>
      <c r="C26" s="234"/>
      <c r="D26" s="234"/>
      <c r="E26" s="234"/>
      <c r="F26" s="234"/>
      <c r="G26" s="8"/>
      <c r="H26" s="8"/>
      <c r="I26" s="8"/>
      <c r="J26" s="8"/>
      <c r="K26" s="8"/>
      <c r="L26" s="8"/>
      <c r="M26" s="8"/>
      <c r="N26" s="8"/>
      <c r="O26" s="8"/>
      <c r="P26" s="104"/>
      <c r="AL26" s="8" t="s">
        <v>9</v>
      </c>
    </row>
    <row r="27" spans="1:38" s="4" customFormat="1" ht="9.75" customHeight="1" x14ac:dyDescent="0.25">
      <c r="A27" s="7"/>
      <c r="B27" s="22"/>
      <c r="C27" s="23"/>
      <c r="D27" s="24"/>
      <c r="E27" s="24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106"/>
    </row>
    <row r="28" spans="1:38" s="4" customFormat="1" ht="12" customHeight="1" x14ac:dyDescent="0.25">
      <c r="A28" s="21" t="s">
        <v>26</v>
      </c>
      <c r="B28" s="22"/>
      <c r="C28" s="26"/>
      <c r="D28" s="27">
        <f>3605.13/100*$O$34</f>
        <v>3605.1299999999997</v>
      </c>
      <c r="E28" s="28" t="s">
        <v>27</v>
      </c>
      <c r="G28" s="22"/>
      <c r="H28" s="22"/>
      <c r="I28" s="22"/>
      <c r="J28" s="22"/>
      <c r="K28" s="22"/>
      <c r="L28" s="22"/>
      <c r="M28" s="22"/>
      <c r="N28" s="29"/>
      <c r="O28" s="29"/>
      <c r="P28" s="107"/>
    </row>
    <row r="29" spans="1:38" s="4" customFormat="1" ht="12" customHeight="1" x14ac:dyDescent="0.25">
      <c r="A29" s="7"/>
      <c r="B29" s="30" t="s">
        <v>28</v>
      </c>
      <c r="C29" s="31"/>
      <c r="D29" s="32"/>
      <c r="E29" s="28"/>
      <c r="G29" s="22"/>
      <c r="P29" s="108"/>
    </row>
    <row r="30" spans="1:38" s="4" customFormat="1" ht="12" customHeight="1" x14ac:dyDescent="0.25">
      <c r="A30" s="7"/>
      <c r="B30" s="33" t="s">
        <v>29</v>
      </c>
      <c r="C30" s="26"/>
      <c r="D30" s="27">
        <f>3211.12/100*$O$34</f>
        <v>3211.12</v>
      </c>
      <c r="E30" s="28" t="s">
        <v>27</v>
      </c>
      <c r="I30" s="22"/>
      <c r="K30" s="22" t="s">
        <v>30</v>
      </c>
      <c r="L30" s="22"/>
      <c r="M30" s="22"/>
      <c r="N30" s="34"/>
      <c r="O30" s="27">
        <v>193.27</v>
      </c>
      <c r="P30" s="109" t="s">
        <v>27</v>
      </c>
    </row>
    <row r="31" spans="1:38" s="4" customFormat="1" ht="12" customHeight="1" x14ac:dyDescent="0.25">
      <c r="A31" s="7"/>
      <c r="B31" s="33" t="s">
        <v>31</v>
      </c>
      <c r="C31" s="35"/>
      <c r="D31" s="36">
        <f>394.01/100*$O$34</f>
        <v>394.01</v>
      </c>
      <c r="E31" s="28" t="s">
        <v>27</v>
      </c>
      <c r="I31" s="22"/>
      <c r="K31" s="22" t="s">
        <v>32</v>
      </c>
      <c r="L31" s="22"/>
      <c r="M31" s="22"/>
      <c r="N31" s="34"/>
      <c r="O31" s="27">
        <v>0</v>
      </c>
      <c r="P31" s="109" t="s">
        <v>27</v>
      </c>
    </row>
    <row r="32" spans="1:38" s="4" customFormat="1" ht="12" customHeight="1" x14ac:dyDescent="0.25">
      <c r="A32" s="7"/>
      <c r="B32" s="33" t="s">
        <v>33</v>
      </c>
      <c r="C32" s="35"/>
      <c r="D32" s="36">
        <v>0</v>
      </c>
      <c r="E32" s="28" t="s">
        <v>27</v>
      </c>
      <c r="I32" s="22"/>
      <c r="K32" s="22" t="s">
        <v>34</v>
      </c>
      <c r="L32" s="22"/>
      <c r="M32" s="22"/>
      <c r="N32" s="37"/>
      <c r="O32" s="36">
        <v>488.37</v>
      </c>
      <c r="P32" s="110" t="s">
        <v>35</v>
      </c>
    </row>
    <row r="33" spans="1:54" s="4" customFormat="1" ht="12" customHeight="1" x14ac:dyDescent="0.25">
      <c r="A33" s="7"/>
      <c r="B33" s="33" t="s">
        <v>36</v>
      </c>
      <c r="C33" s="35"/>
      <c r="D33" s="27">
        <v>0</v>
      </c>
      <c r="E33" s="28" t="s">
        <v>27</v>
      </c>
      <c r="I33" s="22"/>
      <c r="K33" s="22" t="s">
        <v>37</v>
      </c>
      <c r="L33" s="22"/>
      <c r="M33" s="22"/>
      <c r="N33" s="37"/>
      <c r="O33" s="36">
        <v>55.74</v>
      </c>
      <c r="P33" s="110" t="s">
        <v>35</v>
      </c>
    </row>
    <row r="34" spans="1:54" s="4" customFormat="1" ht="15" x14ac:dyDescent="0.25">
      <c r="A34" s="7"/>
      <c r="B34" s="22"/>
      <c r="D34" s="39"/>
      <c r="E34" s="28"/>
      <c r="H34" s="22"/>
      <c r="I34" s="22"/>
      <c r="J34" s="22"/>
      <c r="K34" s="22"/>
      <c r="L34" s="22"/>
      <c r="M34" s="22"/>
      <c r="N34" s="119" t="s">
        <v>243</v>
      </c>
      <c r="O34" s="100">
        <v>100</v>
      </c>
      <c r="P34" s="111" t="s">
        <v>244</v>
      </c>
    </row>
    <row r="35" spans="1:54" s="4" customFormat="1" ht="11.25" customHeight="1" x14ac:dyDescent="0.25">
      <c r="A35" s="235" t="s">
        <v>38</v>
      </c>
      <c r="B35" s="236" t="s">
        <v>39</v>
      </c>
      <c r="C35" s="237" t="s">
        <v>40</v>
      </c>
      <c r="D35" s="238"/>
      <c r="E35" s="238"/>
      <c r="F35" s="238"/>
      <c r="G35" s="239"/>
      <c r="H35" s="236" t="s">
        <v>41</v>
      </c>
      <c r="I35" s="236" t="s">
        <v>42</v>
      </c>
      <c r="J35" s="236"/>
      <c r="K35" s="236"/>
      <c r="L35" s="237" t="s">
        <v>43</v>
      </c>
      <c r="M35" s="238"/>
      <c r="N35" s="238"/>
      <c r="O35" s="238"/>
      <c r="P35" s="239"/>
    </row>
    <row r="36" spans="1:54" s="4" customFormat="1" ht="11.25" customHeight="1" x14ac:dyDescent="0.25">
      <c r="A36" s="235"/>
      <c r="B36" s="236"/>
      <c r="C36" s="240"/>
      <c r="D36" s="241"/>
      <c r="E36" s="241"/>
      <c r="F36" s="241"/>
      <c r="G36" s="242"/>
      <c r="H36" s="236"/>
      <c r="I36" s="236"/>
      <c r="J36" s="236"/>
      <c r="K36" s="236"/>
      <c r="L36" s="243"/>
      <c r="M36" s="244"/>
      <c r="N36" s="244"/>
      <c r="O36" s="244"/>
      <c r="P36" s="245"/>
    </row>
    <row r="37" spans="1:54" s="4" customFormat="1" ht="54" customHeight="1" x14ac:dyDescent="0.25">
      <c r="A37" s="235"/>
      <c r="B37" s="236"/>
      <c r="C37" s="243"/>
      <c r="D37" s="244"/>
      <c r="E37" s="244"/>
      <c r="F37" s="244"/>
      <c r="G37" s="245"/>
      <c r="H37" s="236"/>
      <c r="I37" s="40" t="s">
        <v>44</v>
      </c>
      <c r="J37" s="40" t="s">
        <v>45</v>
      </c>
      <c r="K37" s="40" t="s">
        <v>46</v>
      </c>
      <c r="L37" s="40" t="s">
        <v>47</v>
      </c>
      <c r="M37" s="40" t="s">
        <v>48</v>
      </c>
      <c r="N37" s="40" t="s">
        <v>49</v>
      </c>
      <c r="O37" s="40" t="s">
        <v>45</v>
      </c>
      <c r="P37" s="112" t="s">
        <v>50</v>
      </c>
    </row>
    <row r="38" spans="1:54" s="4" customFormat="1" ht="13.5" customHeight="1" x14ac:dyDescent="0.25">
      <c r="A38" s="41">
        <v>1</v>
      </c>
      <c r="B38" s="42">
        <v>2</v>
      </c>
      <c r="C38" s="228">
        <v>3</v>
      </c>
      <c r="D38" s="229"/>
      <c r="E38" s="229"/>
      <c r="F38" s="229"/>
      <c r="G38" s="230"/>
      <c r="H38" s="42">
        <v>4</v>
      </c>
      <c r="I38" s="42">
        <v>5</v>
      </c>
      <c r="J38" s="42">
        <v>6</v>
      </c>
      <c r="K38" s="42">
        <v>7</v>
      </c>
      <c r="L38" s="42">
        <v>8</v>
      </c>
      <c r="M38" s="42">
        <v>9</v>
      </c>
      <c r="N38" s="42">
        <v>10</v>
      </c>
      <c r="O38" s="42">
        <v>11</v>
      </c>
      <c r="P38" s="118">
        <v>12</v>
      </c>
    </row>
    <row r="39" spans="1:54" s="22" customFormat="1" ht="15" x14ac:dyDescent="0.25">
      <c r="A39" s="225" t="s">
        <v>51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7"/>
      <c r="Q39" s="4"/>
      <c r="R39" s="4"/>
      <c r="S39" s="4"/>
      <c r="T39" s="4"/>
      <c r="U39" s="4"/>
      <c r="V39" s="4"/>
      <c r="W39" s="4"/>
      <c r="X39" s="4"/>
      <c r="Y39" s="4"/>
      <c r="Z39" s="4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3" t="s">
        <v>51</v>
      </c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1:54" s="22" customFormat="1" ht="15" x14ac:dyDescent="0.25">
      <c r="A40" s="225" t="s">
        <v>52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7"/>
      <c r="Q40" s="4"/>
      <c r="R40" s="4"/>
      <c r="S40" s="4"/>
      <c r="T40" s="4"/>
      <c r="U40" s="4"/>
      <c r="V40" s="4"/>
      <c r="W40" s="4"/>
      <c r="X40" s="4"/>
      <c r="Y40" s="4"/>
      <c r="Z40" s="4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3"/>
      <c r="AN40" s="43" t="s">
        <v>52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4" s="22" customFormat="1" ht="23.25" x14ac:dyDescent="0.25">
      <c r="A41" s="44" t="s">
        <v>53</v>
      </c>
      <c r="B41" s="45" t="s">
        <v>54</v>
      </c>
      <c r="C41" s="224" t="s">
        <v>55</v>
      </c>
      <c r="D41" s="224"/>
      <c r="E41" s="224"/>
      <c r="F41" s="224"/>
      <c r="G41" s="224"/>
      <c r="H41" s="46" t="s">
        <v>56</v>
      </c>
      <c r="I41" s="47">
        <f>0.18/100*$O$34</f>
        <v>0.18</v>
      </c>
      <c r="J41" s="48">
        <v>1</v>
      </c>
      <c r="K41" s="49">
        <v>0.18</v>
      </c>
      <c r="L41" s="50"/>
      <c r="M41" s="47"/>
      <c r="N41" s="50"/>
      <c r="O41" s="47"/>
      <c r="P41" s="96"/>
      <c r="Q41" s="4"/>
      <c r="R41" s="4"/>
      <c r="S41" s="4"/>
      <c r="T41" s="4"/>
      <c r="U41" s="4"/>
      <c r="V41" s="4"/>
      <c r="W41" s="4"/>
      <c r="X41" s="4"/>
      <c r="Y41" s="4"/>
      <c r="Z41" s="4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3"/>
      <c r="AN41" s="43"/>
      <c r="AO41" s="43" t="s">
        <v>55</v>
      </c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spans="1:54" s="22" customFormat="1" ht="15" x14ac:dyDescent="0.25">
      <c r="A42" s="52"/>
      <c r="B42" s="53"/>
      <c r="C42" s="222" t="s">
        <v>57</v>
      </c>
      <c r="D42" s="222"/>
      <c r="E42" s="222"/>
      <c r="F42" s="222"/>
      <c r="G42" s="222"/>
      <c r="H42" s="46"/>
      <c r="I42" s="47"/>
      <c r="J42" s="47"/>
      <c r="K42" s="47"/>
      <c r="L42" s="50"/>
      <c r="M42" s="47"/>
      <c r="N42" s="54"/>
      <c r="O42" s="47"/>
      <c r="P42" s="96">
        <f>7686.76/100*$O$34</f>
        <v>7686.7599999999993</v>
      </c>
      <c r="Q42" s="56"/>
      <c r="R42" s="56"/>
      <c r="S42" s="4"/>
      <c r="T42" s="4"/>
      <c r="U42" s="4"/>
      <c r="V42" s="4"/>
      <c r="W42" s="4"/>
      <c r="X42" s="4"/>
      <c r="Y42" s="4"/>
      <c r="Z42" s="4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3"/>
      <c r="AN42" s="43"/>
      <c r="AO42" s="43"/>
      <c r="AP42" s="43" t="s">
        <v>57</v>
      </c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spans="1:54" s="22" customFormat="1" ht="15" x14ac:dyDescent="0.25">
      <c r="A43" s="57"/>
      <c r="B43" s="58"/>
      <c r="C43" s="223" t="s">
        <v>58</v>
      </c>
      <c r="D43" s="223"/>
      <c r="E43" s="223"/>
      <c r="F43" s="223"/>
      <c r="G43" s="223"/>
      <c r="H43" s="59"/>
      <c r="I43" s="60"/>
      <c r="J43" s="60"/>
      <c r="K43" s="60"/>
      <c r="L43" s="61"/>
      <c r="M43" s="60"/>
      <c r="N43" s="61"/>
      <c r="O43" s="60"/>
      <c r="P43" s="95">
        <f>7686.76/100*$O$34</f>
        <v>7686.7599999999993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3"/>
      <c r="AN43" s="43"/>
      <c r="AO43" s="43"/>
      <c r="AP43" s="43"/>
      <c r="AQ43" s="8" t="s">
        <v>58</v>
      </c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54" s="22" customFormat="1" ht="15" x14ac:dyDescent="0.25">
      <c r="A44" s="57"/>
      <c r="B44" s="58" t="s">
        <v>59</v>
      </c>
      <c r="C44" s="223" t="s">
        <v>60</v>
      </c>
      <c r="D44" s="223"/>
      <c r="E44" s="223"/>
      <c r="F44" s="223"/>
      <c r="G44" s="223"/>
      <c r="H44" s="59" t="s">
        <v>61</v>
      </c>
      <c r="I44" s="63">
        <v>89</v>
      </c>
      <c r="J44" s="60"/>
      <c r="K44" s="63">
        <v>89</v>
      </c>
      <c r="L44" s="61"/>
      <c r="M44" s="60"/>
      <c r="N44" s="61"/>
      <c r="O44" s="60"/>
      <c r="P44" s="95">
        <f>P43*K44%</f>
        <v>6841.2163999999993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3"/>
      <c r="AN44" s="43"/>
      <c r="AO44" s="43"/>
      <c r="AP44" s="43"/>
      <c r="AQ44" s="8" t="s">
        <v>60</v>
      </c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</row>
    <row r="45" spans="1:54" s="22" customFormat="1" ht="15" x14ac:dyDescent="0.25">
      <c r="A45" s="57"/>
      <c r="B45" s="58" t="s">
        <v>62</v>
      </c>
      <c r="C45" s="223" t="s">
        <v>63</v>
      </c>
      <c r="D45" s="223"/>
      <c r="E45" s="223"/>
      <c r="F45" s="223"/>
      <c r="G45" s="223"/>
      <c r="H45" s="59" t="s">
        <v>61</v>
      </c>
      <c r="I45" s="63">
        <v>40</v>
      </c>
      <c r="J45" s="60"/>
      <c r="K45" s="63">
        <v>40</v>
      </c>
      <c r="L45" s="61"/>
      <c r="M45" s="60"/>
      <c r="N45" s="61"/>
      <c r="O45" s="60"/>
      <c r="P45" s="95">
        <f>P43*K45%</f>
        <v>3074.7039999999997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3"/>
      <c r="AN45" s="43"/>
      <c r="AO45" s="43"/>
      <c r="AP45" s="43"/>
      <c r="AQ45" s="8" t="s">
        <v>63</v>
      </c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</row>
    <row r="46" spans="1:54" s="22" customFormat="1" ht="15" x14ac:dyDescent="0.25">
      <c r="A46" s="64"/>
      <c r="B46" s="65"/>
      <c r="C46" s="222" t="s">
        <v>64</v>
      </c>
      <c r="D46" s="222"/>
      <c r="E46" s="222"/>
      <c r="F46" s="222"/>
      <c r="G46" s="222"/>
      <c r="H46" s="46"/>
      <c r="I46" s="47"/>
      <c r="J46" s="47"/>
      <c r="K46" s="47"/>
      <c r="L46" s="50"/>
      <c r="M46" s="47"/>
      <c r="N46" s="54">
        <v>97792.67</v>
      </c>
      <c r="O46" s="47"/>
      <c r="P46" s="96">
        <f>P42+P44+P45</f>
        <v>17602.680399999997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3"/>
      <c r="AN46" s="43"/>
      <c r="AO46" s="43"/>
      <c r="AP46" s="43"/>
      <c r="AQ46" s="8"/>
      <c r="AR46" s="43" t="s">
        <v>64</v>
      </c>
      <c r="AS46" s="8"/>
      <c r="AT46" s="8"/>
      <c r="AU46" s="8"/>
      <c r="AV46" s="8"/>
      <c r="AW46" s="8"/>
      <c r="AX46" s="8"/>
      <c r="AY46" s="8"/>
      <c r="AZ46" s="8"/>
      <c r="BA46" s="8"/>
      <c r="BB46" s="8"/>
    </row>
    <row r="47" spans="1:54" s="22" customFormat="1" ht="34.5" x14ac:dyDescent="0.25">
      <c r="A47" s="44" t="s">
        <v>65</v>
      </c>
      <c r="B47" s="45" t="s">
        <v>66</v>
      </c>
      <c r="C47" s="224" t="s">
        <v>67</v>
      </c>
      <c r="D47" s="224"/>
      <c r="E47" s="224"/>
      <c r="F47" s="224"/>
      <c r="G47" s="224"/>
      <c r="H47" s="46" t="s">
        <v>56</v>
      </c>
      <c r="I47" s="47">
        <f>0.18/100*$O$34</f>
        <v>0.18</v>
      </c>
      <c r="J47" s="48">
        <v>1</v>
      </c>
      <c r="K47" s="49">
        <v>0.18</v>
      </c>
      <c r="L47" s="50"/>
      <c r="M47" s="47"/>
      <c r="N47" s="50"/>
      <c r="O47" s="47"/>
      <c r="P47" s="96"/>
      <c r="Q47" s="4"/>
      <c r="R47" s="4"/>
      <c r="S47" s="4"/>
      <c r="T47" s="4"/>
      <c r="U47" s="4"/>
      <c r="V47" s="4"/>
      <c r="W47" s="4"/>
      <c r="X47" s="4"/>
      <c r="Y47" s="4"/>
      <c r="Z47" s="4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3"/>
      <c r="AN47" s="43"/>
      <c r="AO47" s="43" t="s">
        <v>67</v>
      </c>
      <c r="AP47" s="43"/>
      <c r="AQ47" s="8"/>
      <c r="AR47" s="43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4" s="22" customFormat="1" ht="15" x14ac:dyDescent="0.25">
      <c r="A48" s="52"/>
      <c r="B48" s="53"/>
      <c r="C48" s="222" t="s">
        <v>57</v>
      </c>
      <c r="D48" s="222"/>
      <c r="E48" s="222"/>
      <c r="F48" s="222"/>
      <c r="G48" s="222"/>
      <c r="H48" s="46"/>
      <c r="I48" s="47"/>
      <c r="J48" s="47"/>
      <c r="K48" s="47"/>
      <c r="L48" s="50"/>
      <c r="M48" s="47"/>
      <c r="N48" s="54"/>
      <c r="O48" s="47"/>
      <c r="P48" s="96">
        <f>5527.07/100*$O$34</f>
        <v>5527.07</v>
      </c>
      <c r="Q48" s="56"/>
      <c r="R48" s="56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3"/>
      <c r="AN48" s="43"/>
      <c r="AO48" s="43"/>
      <c r="AP48" s="43" t="s">
        <v>57</v>
      </c>
      <c r="AQ48" s="8"/>
      <c r="AR48" s="43"/>
      <c r="AS48" s="8"/>
      <c r="AT48" s="8"/>
      <c r="AU48" s="8"/>
      <c r="AV48" s="8"/>
      <c r="AW48" s="8"/>
      <c r="AX48" s="8"/>
      <c r="AY48" s="8"/>
      <c r="AZ48" s="8"/>
      <c r="BA48" s="8"/>
      <c r="BB48" s="8"/>
    </row>
    <row r="49" spans="1:54" s="22" customFormat="1" ht="15" x14ac:dyDescent="0.25">
      <c r="A49" s="57"/>
      <c r="B49" s="58"/>
      <c r="C49" s="223" t="s">
        <v>58</v>
      </c>
      <c r="D49" s="223"/>
      <c r="E49" s="223"/>
      <c r="F49" s="223"/>
      <c r="G49" s="223"/>
      <c r="H49" s="59"/>
      <c r="I49" s="60"/>
      <c r="J49" s="60"/>
      <c r="K49" s="60"/>
      <c r="L49" s="61"/>
      <c r="M49" s="60"/>
      <c r="N49" s="61"/>
      <c r="O49" s="60"/>
      <c r="P49" s="95">
        <f>5527.07/100*$O$34</f>
        <v>5527.07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3"/>
      <c r="AN49" s="43"/>
      <c r="AO49" s="43"/>
      <c r="AP49" s="43"/>
      <c r="AQ49" s="8" t="s">
        <v>58</v>
      </c>
      <c r="AR49" s="43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s="22" customFormat="1" ht="15" x14ac:dyDescent="0.25">
      <c r="A50" s="57"/>
      <c r="B50" s="58" t="s">
        <v>59</v>
      </c>
      <c r="C50" s="223" t="s">
        <v>60</v>
      </c>
      <c r="D50" s="223"/>
      <c r="E50" s="223"/>
      <c r="F50" s="223"/>
      <c r="G50" s="223"/>
      <c r="H50" s="59" t="s">
        <v>61</v>
      </c>
      <c r="I50" s="63">
        <v>89</v>
      </c>
      <c r="J50" s="60"/>
      <c r="K50" s="63">
        <v>89</v>
      </c>
      <c r="L50" s="61"/>
      <c r="M50" s="60"/>
      <c r="N50" s="61"/>
      <c r="O50" s="60"/>
      <c r="P50" s="95">
        <f>P49*K50%</f>
        <v>4919.0923000000003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43"/>
      <c r="AN50" s="43"/>
      <c r="AO50" s="43"/>
      <c r="AP50" s="43"/>
      <c r="AQ50" s="8" t="s">
        <v>60</v>
      </c>
      <c r="AR50" s="43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s="22" customFormat="1" ht="15" x14ac:dyDescent="0.25">
      <c r="A51" s="57"/>
      <c r="B51" s="58" t="s">
        <v>62</v>
      </c>
      <c r="C51" s="223" t="s">
        <v>63</v>
      </c>
      <c r="D51" s="223"/>
      <c r="E51" s="223"/>
      <c r="F51" s="223"/>
      <c r="G51" s="223"/>
      <c r="H51" s="59" t="s">
        <v>61</v>
      </c>
      <c r="I51" s="63">
        <v>40</v>
      </c>
      <c r="J51" s="60"/>
      <c r="K51" s="63">
        <v>40</v>
      </c>
      <c r="L51" s="61"/>
      <c r="M51" s="60"/>
      <c r="N51" s="61"/>
      <c r="O51" s="60"/>
      <c r="P51" s="95">
        <f>P49*K51%</f>
        <v>2210.828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43"/>
      <c r="AN51" s="43"/>
      <c r="AO51" s="43"/>
      <c r="AP51" s="43"/>
      <c r="AQ51" s="8" t="s">
        <v>63</v>
      </c>
      <c r="AR51" s="43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s="22" customFormat="1" ht="15" x14ac:dyDescent="0.25">
      <c r="A52" s="64"/>
      <c r="B52" s="65"/>
      <c r="C52" s="222" t="s">
        <v>64</v>
      </c>
      <c r="D52" s="222"/>
      <c r="E52" s="222"/>
      <c r="F52" s="222"/>
      <c r="G52" s="222"/>
      <c r="H52" s="46"/>
      <c r="I52" s="47"/>
      <c r="J52" s="47"/>
      <c r="K52" s="47"/>
      <c r="L52" s="50"/>
      <c r="M52" s="47"/>
      <c r="N52" s="54">
        <v>70316.61</v>
      </c>
      <c r="O52" s="47"/>
      <c r="P52" s="96">
        <f>P48+P50+P51</f>
        <v>12656.990299999999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43"/>
      <c r="AN52" s="43"/>
      <c r="AO52" s="43"/>
      <c r="AP52" s="43"/>
      <c r="AQ52" s="8"/>
      <c r="AR52" s="43" t="s">
        <v>64</v>
      </c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s="22" customFormat="1" ht="15" x14ac:dyDescent="0.25">
      <c r="A53" s="225" t="s">
        <v>68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7"/>
      <c r="Q53" s="4"/>
      <c r="R53" s="4"/>
      <c r="S53" s="4"/>
      <c r="T53" s="4"/>
      <c r="U53" s="4"/>
      <c r="V53" s="4"/>
      <c r="W53" s="4"/>
      <c r="X53" s="4"/>
      <c r="Y53" s="4"/>
      <c r="Z53" s="4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43"/>
      <c r="AN53" s="43" t="s">
        <v>68</v>
      </c>
      <c r="AO53" s="43"/>
      <c r="AP53" s="43"/>
      <c r="AQ53" s="8"/>
      <c r="AR53" s="43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s="22" customFormat="1" ht="23.25" x14ac:dyDescent="0.25">
      <c r="A54" s="44" t="s">
        <v>69</v>
      </c>
      <c r="B54" s="45" t="s">
        <v>70</v>
      </c>
      <c r="C54" s="224" t="s">
        <v>71</v>
      </c>
      <c r="D54" s="224"/>
      <c r="E54" s="224"/>
      <c r="F54" s="224"/>
      <c r="G54" s="224"/>
      <c r="H54" s="46" t="s">
        <v>72</v>
      </c>
      <c r="I54" s="47">
        <f>1.08/100*$O$34</f>
        <v>1.08</v>
      </c>
      <c r="J54" s="48">
        <v>1</v>
      </c>
      <c r="K54" s="49">
        <v>1.08</v>
      </c>
      <c r="L54" s="50"/>
      <c r="M54" s="47"/>
      <c r="N54" s="50"/>
      <c r="O54" s="47"/>
      <c r="P54" s="96"/>
      <c r="Q54" s="4"/>
      <c r="R54" s="4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43"/>
      <c r="AN54" s="43"/>
      <c r="AO54" s="43" t="s">
        <v>71</v>
      </c>
      <c r="AP54" s="43"/>
      <c r="AQ54" s="8"/>
      <c r="AR54" s="43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s="22" customFormat="1" ht="15" x14ac:dyDescent="0.25">
      <c r="A55" s="52"/>
      <c r="B55" s="53"/>
      <c r="C55" s="222" t="s">
        <v>57</v>
      </c>
      <c r="D55" s="222"/>
      <c r="E55" s="222"/>
      <c r="F55" s="222"/>
      <c r="G55" s="222"/>
      <c r="H55" s="46"/>
      <c r="I55" s="47"/>
      <c r="J55" s="47"/>
      <c r="K55" s="47"/>
      <c r="L55" s="50"/>
      <c r="M55" s="47"/>
      <c r="N55" s="54"/>
      <c r="O55" s="47"/>
      <c r="P55" s="96">
        <f>20059.49/100*$O$34</f>
        <v>20059.490000000002</v>
      </c>
      <c r="Q55" s="56"/>
      <c r="R55" s="56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43"/>
      <c r="AN55" s="43"/>
      <c r="AO55" s="43"/>
      <c r="AP55" s="43" t="s">
        <v>57</v>
      </c>
      <c r="AQ55" s="8"/>
      <c r="AR55" s="43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s="22" customFormat="1" ht="15" x14ac:dyDescent="0.25">
      <c r="A56" s="57"/>
      <c r="B56" s="58"/>
      <c r="C56" s="223" t="s">
        <v>58</v>
      </c>
      <c r="D56" s="223"/>
      <c r="E56" s="223"/>
      <c r="F56" s="223"/>
      <c r="G56" s="223"/>
      <c r="H56" s="59"/>
      <c r="I56" s="60"/>
      <c r="J56" s="60"/>
      <c r="K56" s="60"/>
      <c r="L56" s="61"/>
      <c r="M56" s="60"/>
      <c r="N56" s="61"/>
      <c r="O56" s="60"/>
      <c r="P56" s="95">
        <f>2083.24/100*$O$34</f>
        <v>2083.2399999999998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43"/>
      <c r="AN56" s="43"/>
      <c r="AO56" s="43"/>
      <c r="AP56" s="43"/>
      <c r="AQ56" s="8" t="s">
        <v>58</v>
      </c>
      <c r="AR56" s="43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s="22" customFormat="1" ht="23.25" x14ac:dyDescent="0.25">
      <c r="A57" s="57"/>
      <c r="B57" s="58" t="s">
        <v>73</v>
      </c>
      <c r="C57" s="223" t="s">
        <v>74</v>
      </c>
      <c r="D57" s="223"/>
      <c r="E57" s="223"/>
      <c r="F57" s="223"/>
      <c r="G57" s="223"/>
      <c r="H57" s="59" t="s">
        <v>61</v>
      </c>
      <c r="I57" s="63">
        <v>92</v>
      </c>
      <c r="J57" s="60"/>
      <c r="K57" s="63">
        <v>92</v>
      </c>
      <c r="L57" s="61"/>
      <c r="M57" s="60"/>
      <c r="N57" s="61"/>
      <c r="O57" s="60"/>
      <c r="P57" s="95">
        <f>P56*K57%</f>
        <v>1916.5808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43"/>
      <c r="AN57" s="43"/>
      <c r="AO57" s="43"/>
      <c r="AP57" s="43"/>
      <c r="AQ57" s="8" t="s">
        <v>74</v>
      </c>
      <c r="AR57" s="43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s="22" customFormat="1" ht="23.25" x14ac:dyDescent="0.25">
      <c r="A58" s="57"/>
      <c r="B58" s="58" t="s">
        <v>75</v>
      </c>
      <c r="C58" s="223" t="s">
        <v>76</v>
      </c>
      <c r="D58" s="223"/>
      <c r="E58" s="223"/>
      <c r="F58" s="223"/>
      <c r="G58" s="223"/>
      <c r="H58" s="59" t="s">
        <v>61</v>
      </c>
      <c r="I58" s="63">
        <v>46</v>
      </c>
      <c r="J58" s="60"/>
      <c r="K58" s="63">
        <v>46</v>
      </c>
      <c r="L58" s="61"/>
      <c r="M58" s="60"/>
      <c r="N58" s="61"/>
      <c r="O58" s="60"/>
      <c r="P58" s="95">
        <f>P56*K58%</f>
        <v>958.29039999999998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43"/>
      <c r="AN58" s="43"/>
      <c r="AO58" s="43"/>
      <c r="AP58" s="43"/>
      <c r="AQ58" s="8" t="s">
        <v>76</v>
      </c>
      <c r="AR58" s="43"/>
      <c r="AS58" s="8"/>
      <c r="AT58" s="8"/>
      <c r="AU58" s="8"/>
      <c r="AV58" s="8"/>
      <c r="AW58" s="8"/>
      <c r="AX58" s="8"/>
      <c r="AY58" s="8"/>
      <c r="AZ58" s="8"/>
      <c r="BA58" s="8"/>
      <c r="BB58" s="8"/>
    </row>
    <row r="59" spans="1:54" s="22" customFormat="1" ht="15" x14ac:dyDescent="0.25">
      <c r="A59" s="64"/>
      <c r="B59" s="65"/>
      <c r="C59" s="222" t="s">
        <v>64</v>
      </c>
      <c r="D59" s="222"/>
      <c r="E59" s="222"/>
      <c r="F59" s="222"/>
      <c r="G59" s="222"/>
      <c r="H59" s="46"/>
      <c r="I59" s="47"/>
      <c r="J59" s="47"/>
      <c r="K59" s="47"/>
      <c r="L59" s="50"/>
      <c r="M59" s="47"/>
      <c r="N59" s="54">
        <v>21235.52</v>
      </c>
      <c r="O59" s="47"/>
      <c r="P59" s="96">
        <f>P55+P57+P58</f>
        <v>22934.361200000003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43"/>
      <c r="AN59" s="43"/>
      <c r="AO59" s="43"/>
      <c r="AP59" s="43"/>
      <c r="AQ59" s="8"/>
      <c r="AR59" s="43" t="s">
        <v>64</v>
      </c>
      <c r="AS59" s="8"/>
      <c r="AT59" s="8"/>
      <c r="AU59" s="8"/>
      <c r="AV59" s="8"/>
      <c r="AW59" s="8"/>
      <c r="AX59" s="8"/>
      <c r="AY59" s="8"/>
      <c r="AZ59" s="8"/>
      <c r="BA59" s="8"/>
      <c r="BB59" s="8"/>
    </row>
    <row r="60" spans="1:54" s="22" customFormat="1" ht="23.25" x14ac:dyDescent="0.25">
      <c r="A60" s="44" t="s">
        <v>77</v>
      </c>
      <c r="B60" s="45" t="s">
        <v>78</v>
      </c>
      <c r="C60" s="224" t="s">
        <v>79</v>
      </c>
      <c r="D60" s="224"/>
      <c r="E60" s="224"/>
      <c r="F60" s="224"/>
      <c r="G60" s="224"/>
      <c r="H60" s="46" t="s">
        <v>56</v>
      </c>
      <c r="I60" s="47">
        <f>3/100*$O$34</f>
        <v>3</v>
      </c>
      <c r="J60" s="48">
        <v>1</v>
      </c>
      <c r="K60" s="48">
        <v>3</v>
      </c>
      <c r="L60" s="50"/>
      <c r="M60" s="47"/>
      <c r="N60" s="50"/>
      <c r="O60" s="47"/>
      <c r="P60" s="96"/>
      <c r="Q60" s="4"/>
      <c r="R60" s="4"/>
      <c r="S60" s="4"/>
      <c r="T60" s="4"/>
      <c r="U60" s="4"/>
      <c r="V60" s="4"/>
      <c r="W60" s="4"/>
      <c r="X60" s="4"/>
      <c r="Y60" s="4"/>
      <c r="Z60" s="4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43"/>
      <c r="AN60" s="43"/>
      <c r="AO60" s="43" t="s">
        <v>79</v>
      </c>
      <c r="AP60" s="43"/>
      <c r="AQ60" s="8"/>
      <c r="AR60" s="43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54" s="22" customFormat="1" ht="15" x14ac:dyDescent="0.25">
      <c r="A61" s="52"/>
      <c r="B61" s="53"/>
      <c r="C61" s="222" t="s">
        <v>57</v>
      </c>
      <c r="D61" s="222"/>
      <c r="E61" s="222"/>
      <c r="F61" s="222"/>
      <c r="G61" s="222"/>
      <c r="H61" s="46"/>
      <c r="I61" s="47"/>
      <c r="J61" s="47"/>
      <c r="K61" s="47"/>
      <c r="L61" s="50"/>
      <c r="M61" s="47"/>
      <c r="N61" s="54"/>
      <c r="O61" s="47"/>
      <c r="P61" s="96">
        <f>17641.2/100*$O$34</f>
        <v>17641.2</v>
      </c>
      <c r="Q61" s="56"/>
      <c r="R61" s="56"/>
      <c r="S61" s="4"/>
      <c r="T61" s="4"/>
      <c r="U61" s="4"/>
      <c r="V61" s="4"/>
      <c r="W61" s="4"/>
      <c r="X61" s="4"/>
      <c r="Y61" s="4"/>
      <c r="Z61" s="4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43"/>
      <c r="AN61" s="43"/>
      <c r="AO61" s="43"/>
      <c r="AP61" s="43" t="s">
        <v>57</v>
      </c>
      <c r="AQ61" s="8"/>
      <c r="AR61" s="43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4" s="22" customFormat="1" ht="15" x14ac:dyDescent="0.25">
      <c r="A62" s="57"/>
      <c r="B62" s="58"/>
      <c r="C62" s="223" t="s">
        <v>58</v>
      </c>
      <c r="D62" s="223"/>
      <c r="E62" s="223"/>
      <c r="F62" s="223"/>
      <c r="G62" s="223"/>
      <c r="H62" s="59"/>
      <c r="I62" s="60"/>
      <c r="J62" s="60"/>
      <c r="K62" s="60"/>
      <c r="L62" s="61"/>
      <c r="M62" s="60"/>
      <c r="N62" s="61"/>
      <c r="O62" s="60"/>
      <c r="P62" s="95">
        <f>14851.81/100*$O$34</f>
        <v>14851.810000000001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43"/>
      <c r="AN62" s="43"/>
      <c r="AO62" s="43"/>
      <c r="AP62" s="43"/>
      <c r="AQ62" s="8" t="s">
        <v>58</v>
      </c>
      <c r="AR62" s="43"/>
      <c r="AS62" s="8"/>
      <c r="AT62" s="8"/>
      <c r="AU62" s="8"/>
      <c r="AV62" s="8"/>
      <c r="AW62" s="8"/>
      <c r="AX62" s="8"/>
      <c r="AY62" s="8"/>
      <c r="AZ62" s="8"/>
      <c r="BA62" s="8"/>
      <c r="BB62" s="8"/>
    </row>
    <row r="63" spans="1:54" s="22" customFormat="1" ht="23.25" x14ac:dyDescent="0.25">
      <c r="A63" s="57"/>
      <c r="B63" s="58" t="s">
        <v>73</v>
      </c>
      <c r="C63" s="223" t="s">
        <v>74</v>
      </c>
      <c r="D63" s="223"/>
      <c r="E63" s="223"/>
      <c r="F63" s="223"/>
      <c r="G63" s="223"/>
      <c r="H63" s="59" t="s">
        <v>61</v>
      </c>
      <c r="I63" s="63">
        <v>92</v>
      </c>
      <c r="J63" s="60"/>
      <c r="K63" s="63">
        <v>92</v>
      </c>
      <c r="L63" s="61"/>
      <c r="M63" s="60"/>
      <c r="N63" s="61"/>
      <c r="O63" s="60"/>
      <c r="P63" s="95">
        <f>P62*K63%</f>
        <v>13663.665200000001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43"/>
      <c r="AN63" s="43"/>
      <c r="AO63" s="43"/>
      <c r="AP63" s="43"/>
      <c r="AQ63" s="8" t="s">
        <v>74</v>
      </c>
      <c r="AR63" s="43"/>
      <c r="AS63" s="8"/>
      <c r="AT63" s="8"/>
      <c r="AU63" s="8"/>
      <c r="AV63" s="8"/>
      <c r="AW63" s="8"/>
      <c r="AX63" s="8"/>
      <c r="AY63" s="8"/>
      <c r="AZ63" s="8"/>
      <c r="BA63" s="8"/>
      <c r="BB63" s="8"/>
    </row>
    <row r="64" spans="1:54" s="22" customFormat="1" ht="23.25" x14ac:dyDescent="0.25">
      <c r="A64" s="57"/>
      <c r="B64" s="58" t="s">
        <v>75</v>
      </c>
      <c r="C64" s="223" t="s">
        <v>76</v>
      </c>
      <c r="D64" s="223"/>
      <c r="E64" s="223"/>
      <c r="F64" s="223"/>
      <c r="G64" s="223"/>
      <c r="H64" s="59" t="s">
        <v>61</v>
      </c>
      <c r="I64" s="63">
        <v>46</v>
      </c>
      <c r="J64" s="60"/>
      <c r="K64" s="63">
        <v>46</v>
      </c>
      <c r="L64" s="61"/>
      <c r="M64" s="60"/>
      <c r="N64" s="61"/>
      <c r="O64" s="60"/>
      <c r="P64" s="95">
        <f>P62*K64%</f>
        <v>6831.8326000000006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43"/>
      <c r="AN64" s="43"/>
      <c r="AO64" s="43"/>
      <c r="AP64" s="43"/>
      <c r="AQ64" s="8" t="s">
        <v>76</v>
      </c>
      <c r="AR64" s="43"/>
      <c r="AS64" s="8"/>
      <c r="AT64" s="8"/>
      <c r="AU64" s="8"/>
      <c r="AV64" s="8"/>
      <c r="AW64" s="8"/>
      <c r="AX64" s="8"/>
      <c r="AY64" s="8"/>
      <c r="AZ64" s="8"/>
      <c r="BA64" s="8"/>
      <c r="BB64" s="8"/>
    </row>
    <row r="65" spans="1:54" s="22" customFormat="1" ht="15" x14ac:dyDescent="0.25">
      <c r="A65" s="64"/>
      <c r="B65" s="65"/>
      <c r="C65" s="222" t="s">
        <v>64</v>
      </c>
      <c r="D65" s="222"/>
      <c r="E65" s="222"/>
      <c r="F65" s="222"/>
      <c r="G65" s="222"/>
      <c r="H65" s="46"/>
      <c r="I65" s="47"/>
      <c r="J65" s="47"/>
      <c r="K65" s="47"/>
      <c r="L65" s="50"/>
      <c r="M65" s="47"/>
      <c r="N65" s="54">
        <v>12712.23</v>
      </c>
      <c r="O65" s="47"/>
      <c r="P65" s="96">
        <f>P61+P63+P64</f>
        <v>38136.697800000002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43"/>
      <c r="AN65" s="43"/>
      <c r="AO65" s="43"/>
      <c r="AP65" s="43"/>
      <c r="AQ65" s="8"/>
      <c r="AR65" s="43" t="s">
        <v>64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54" s="22" customFormat="1" ht="15" x14ac:dyDescent="0.25">
      <c r="A66" s="225" t="s">
        <v>80</v>
      </c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7"/>
      <c r="Q66" s="4"/>
      <c r="R66" s="4"/>
      <c r="S66" s="4"/>
      <c r="T66" s="4"/>
      <c r="U66" s="4"/>
      <c r="V66" s="4"/>
      <c r="W66" s="4"/>
      <c r="X66" s="4"/>
      <c r="Y66" s="4"/>
      <c r="Z66" s="4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43"/>
      <c r="AN66" s="43" t="s">
        <v>80</v>
      </c>
      <c r="AO66" s="43"/>
      <c r="AP66" s="43"/>
      <c r="AQ66" s="8"/>
      <c r="AR66" s="43"/>
      <c r="AS66" s="8"/>
      <c r="AT66" s="8"/>
      <c r="AU66" s="8"/>
      <c r="AV66" s="8"/>
      <c r="AW66" s="8"/>
      <c r="AX66" s="8"/>
      <c r="AY66" s="8"/>
      <c r="AZ66" s="8"/>
      <c r="BA66" s="8"/>
      <c r="BB66" s="8"/>
    </row>
    <row r="67" spans="1:54" s="22" customFormat="1" ht="34.5" x14ac:dyDescent="0.25">
      <c r="A67" s="44" t="s">
        <v>81</v>
      </c>
      <c r="B67" s="45" t="s">
        <v>82</v>
      </c>
      <c r="C67" s="224" t="s">
        <v>83</v>
      </c>
      <c r="D67" s="224"/>
      <c r="E67" s="224"/>
      <c r="F67" s="224"/>
      <c r="G67" s="224"/>
      <c r="H67" s="46" t="s">
        <v>84</v>
      </c>
      <c r="I67" s="47">
        <f>3.3/100*$O$34</f>
        <v>3.3000000000000003</v>
      </c>
      <c r="J67" s="48">
        <v>1</v>
      </c>
      <c r="K67" s="67">
        <v>3.3</v>
      </c>
      <c r="L67" s="50"/>
      <c r="M67" s="47"/>
      <c r="N67" s="50"/>
      <c r="O67" s="47"/>
      <c r="P67" s="96"/>
      <c r="Q67" s="4"/>
      <c r="R67" s="4"/>
      <c r="S67" s="4"/>
      <c r="T67" s="4"/>
      <c r="U67" s="4"/>
      <c r="V67" s="4"/>
      <c r="W67" s="4"/>
      <c r="X67" s="4"/>
      <c r="Y67" s="4"/>
      <c r="Z67" s="4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43"/>
      <c r="AN67" s="43"/>
      <c r="AO67" s="43" t="s">
        <v>83</v>
      </c>
      <c r="AP67" s="43"/>
      <c r="AQ67" s="8"/>
      <c r="AR67" s="43"/>
      <c r="AS67" s="8"/>
      <c r="AT67" s="8"/>
      <c r="AU67" s="8"/>
      <c r="AV67" s="8"/>
      <c r="AW67" s="8"/>
      <c r="AX67" s="8"/>
      <c r="AY67" s="8"/>
      <c r="AZ67" s="8"/>
      <c r="BA67" s="8"/>
      <c r="BB67" s="8"/>
    </row>
    <row r="68" spans="1:54" s="22" customFormat="1" ht="15" x14ac:dyDescent="0.25">
      <c r="A68" s="52"/>
      <c r="B68" s="53"/>
      <c r="C68" s="222" t="s">
        <v>57</v>
      </c>
      <c r="D68" s="222"/>
      <c r="E68" s="222"/>
      <c r="F68" s="222"/>
      <c r="G68" s="222"/>
      <c r="H68" s="46"/>
      <c r="I68" s="47"/>
      <c r="J68" s="47"/>
      <c r="K68" s="47"/>
      <c r="L68" s="50"/>
      <c r="M68" s="47"/>
      <c r="N68" s="54"/>
      <c r="O68" s="47"/>
      <c r="P68" s="96">
        <f>40473.36/100*$O$34</f>
        <v>40473.360000000001</v>
      </c>
      <c r="Q68" s="56"/>
      <c r="R68" s="56"/>
      <c r="S68" s="4"/>
      <c r="T68" s="4"/>
      <c r="U68" s="4"/>
      <c r="V68" s="4"/>
      <c r="W68" s="4"/>
      <c r="X68" s="4"/>
      <c r="Y68" s="4"/>
      <c r="Z68" s="4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43"/>
      <c r="AN68" s="43"/>
      <c r="AO68" s="43"/>
      <c r="AP68" s="43" t="s">
        <v>57</v>
      </c>
      <c r="AQ68" s="8"/>
      <c r="AR68" s="43"/>
      <c r="AS68" s="8"/>
      <c r="AT68" s="8"/>
      <c r="AU68" s="8"/>
      <c r="AV68" s="8"/>
      <c r="AW68" s="8"/>
      <c r="AX68" s="8"/>
      <c r="AY68" s="8"/>
      <c r="AZ68" s="8"/>
      <c r="BA68" s="8"/>
      <c r="BB68" s="8"/>
    </row>
    <row r="69" spans="1:54" s="22" customFormat="1" ht="15" x14ac:dyDescent="0.25">
      <c r="A69" s="57"/>
      <c r="B69" s="58"/>
      <c r="C69" s="223" t="s">
        <v>58</v>
      </c>
      <c r="D69" s="223"/>
      <c r="E69" s="223"/>
      <c r="F69" s="223"/>
      <c r="G69" s="223"/>
      <c r="H69" s="59"/>
      <c r="I69" s="60"/>
      <c r="J69" s="60"/>
      <c r="K69" s="60"/>
      <c r="L69" s="61"/>
      <c r="M69" s="60"/>
      <c r="N69" s="61"/>
      <c r="O69" s="60"/>
      <c r="P69" s="95">
        <f>40377.24/100*$O$34</f>
        <v>40377.24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43"/>
      <c r="AN69" s="43"/>
      <c r="AO69" s="43"/>
      <c r="AP69" s="43"/>
      <c r="AQ69" s="8" t="s">
        <v>58</v>
      </c>
      <c r="AR69" s="43"/>
      <c r="AS69" s="8"/>
      <c r="AT69" s="8"/>
      <c r="AU69" s="8"/>
      <c r="AV69" s="8"/>
      <c r="AW69" s="8"/>
      <c r="AX69" s="8"/>
      <c r="AY69" s="8"/>
      <c r="AZ69" s="8"/>
      <c r="BA69" s="8"/>
      <c r="BB69" s="8"/>
    </row>
    <row r="70" spans="1:54" s="22" customFormat="1" ht="23.25" x14ac:dyDescent="0.25">
      <c r="A70" s="57"/>
      <c r="B70" s="58" t="s">
        <v>85</v>
      </c>
      <c r="C70" s="223" t="s">
        <v>86</v>
      </c>
      <c r="D70" s="223"/>
      <c r="E70" s="223"/>
      <c r="F70" s="223"/>
      <c r="G70" s="223"/>
      <c r="H70" s="59" t="s">
        <v>61</v>
      </c>
      <c r="I70" s="63">
        <v>89</v>
      </c>
      <c r="J70" s="60"/>
      <c r="K70" s="63">
        <v>89</v>
      </c>
      <c r="L70" s="61"/>
      <c r="M70" s="60"/>
      <c r="N70" s="61"/>
      <c r="O70" s="60"/>
      <c r="P70" s="95">
        <f>P69*K70%</f>
        <v>35935.743600000002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43"/>
      <c r="AN70" s="43"/>
      <c r="AO70" s="43"/>
      <c r="AP70" s="43"/>
      <c r="AQ70" s="8" t="s">
        <v>86</v>
      </c>
      <c r="AR70" s="43"/>
      <c r="AS70" s="8"/>
      <c r="AT70" s="8"/>
      <c r="AU70" s="8"/>
      <c r="AV70" s="8"/>
      <c r="AW70" s="8"/>
      <c r="AX70" s="8"/>
      <c r="AY70" s="8"/>
      <c r="AZ70" s="8"/>
      <c r="BA70" s="8"/>
      <c r="BB70" s="8"/>
    </row>
    <row r="71" spans="1:54" s="22" customFormat="1" ht="23.25" x14ac:dyDescent="0.25">
      <c r="A71" s="57"/>
      <c r="B71" s="58" t="s">
        <v>87</v>
      </c>
      <c r="C71" s="223" t="s">
        <v>88</v>
      </c>
      <c r="D71" s="223"/>
      <c r="E71" s="223"/>
      <c r="F71" s="223"/>
      <c r="G71" s="223"/>
      <c r="H71" s="59" t="s">
        <v>61</v>
      </c>
      <c r="I71" s="63">
        <v>41</v>
      </c>
      <c r="J71" s="60"/>
      <c r="K71" s="63">
        <v>41</v>
      </c>
      <c r="L71" s="61"/>
      <c r="M71" s="60"/>
      <c r="N71" s="61"/>
      <c r="O71" s="60"/>
      <c r="P71" s="95">
        <f>P69*K71%</f>
        <v>16554.668399999999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43"/>
      <c r="AN71" s="43"/>
      <c r="AO71" s="43"/>
      <c r="AP71" s="43"/>
      <c r="AQ71" s="8" t="s">
        <v>88</v>
      </c>
      <c r="AR71" s="43"/>
      <c r="AS71" s="8"/>
      <c r="AT71" s="8"/>
      <c r="AU71" s="8"/>
      <c r="AV71" s="8"/>
      <c r="AW71" s="8"/>
      <c r="AX71" s="8"/>
      <c r="AY71" s="8"/>
      <c r="AZ71" s="8"/>
      <c r="BA71" s="8"/>
      <c r="BB71" s="8"/>
    </row>
    <row r="72" spans="1:54" s="22" customFormat="1" ht="15" x14ac:dyDescent="0.25">
      <c r="A72" s="64"/>
      <c r="B72" s="65"/>
      <c r="C72" s="222" t="s">
        <v>64</v>
      </c>
      <c r="D72" s="222"/>
      <c r="E72" s="222"/>
      <c r="F72" s="222"/>
      <c r="G72" s="222"/>
      <c r="H72" s="46"/>
      <c r="I72" s="47"/>
      <c r="J72" s="47"/>
      <c r="K72" s="47"/>
      <c r="L72" s="50"/>
      <c r="M72" s="47"/>
      <c r="N72" s="54">
        <v>28170.84</v>
      </c>
      <c r="O72" s="47"/>
      <c r="P72" s="96">
        <f>P68+P70+P71</f>
        <v>92963.771999999997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43"/>
      <c r="AN72" s="43"/>
      <c r="AO72" s="43"/>
      <c r="AP72" s="43"/>
      <c r="AQ72" s="8"/>
      <c r="AR72" s="43" t="s">
        <v>64</v>
      </c>
      <c r="AS72" s="8"/>
      <c r="AT72" s="8"/>
      <c r="AU72" s="8"/>
      <c r="AV72" s="8"/>
      <c r="AW72" s="8"/>
      <c r="AX72" s="8"/>
      <c r="AY72" s="8"/>
      <c r="AZ72" s="8"/>
      <c r="BA72" s="8"/>
      <c r="BB72" s="8"/>
    </row>
    <row r="73" spans="1:54" s="22" customFormat="1" ht="15" x14ac:dyDescent="0.25">
      <c r="A73" s="44" t="s">
        <v>89</v>
      </c>
      <c r="B73" s="45" t="s">
        <v>90</v>
      </c>
      <c r="C73" s="224" t="s">
        <v>91</v>
      </c>
      <c r="D73" s="224"/>
      <c r="E73" s="224"/>
      <c r="F73" s="224"/>
      <c r="G73" s="224"/>
      <c r="H73" s="46" t="s">
        <v>92</v>
      </c>
      <c r="I73" s="47">
        <f>3.96/100*$O$34</f>
        <v>3.9599999999999995</v>
      </c>
      <c r="J73" s="48">
        <v>1</v>
      </c>
      <c r="K73" s="49">
        <v>3.96</v>
      </c>
      <c r="L73" s="68">
        <v>149.15</v>
      </c>
      <c r="M73" s="49">
        <v>0.96</v>
      </c>
      <c r="N73" s="68">
        <v>143.18</v>
      </c>
      <c r="O73" s="47"/>
      <c r="P73" s="96">
        <f>N73*I73</f>
        <v>566.99279999999999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43"/>
      <c r="AN73" s="43"/>
      <c r="AO73" s="43" t="s">
        <v>91</v>
      </c>
      <c r="AP73" s="43"/>
      <c r="AQ73" s="8"/>
      <c r="AR73" s="43"/>
      <c r="AS73" s="8"/>
      <c r="AT73" s="8"/>
      <c r="AU73" s="8"/>
      <c r="AV73" s="8"/>
      <c r="AW73" s="8"/>
      <c r="AX73" s="8"/>
      <c r="AY73" s="8"/>
      <c r="AZ73" s="8"/>
      <c r="BA73" s="8"/>
      <c r="BB73" s="8"/>
    </row>
    <row r="74" spans="1:54" s="22" customFormat="1" ht="15" x14ac:dyDescent="0.25">
      <c r="A74" s="64"/>
      <c r="B74" s="65"/>
      <c r="C74" s="222" t="s">
        <v>64</v>
      </c>
      <c r="D74" s="222"/>
      <c r="E74" s="222"/>
      <c r="F74" s="222"/>
      <c r="G74" s="222"/>
      <c r="H74" s="46"/>
      <c r="I74" s="47"/>
      <c r="J74" s="47"/>
      <c r="K74" s="47"/>
      <c r="L74" s="50"/>
      <c r="M74" s="47"/>
      <c r="N74" s="50"/>
      <c r="O74" s="47"/>
      <c r="P74" s="96">
        <f>P73</f>
        <v>566.99279999999999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43"/>
      <c r="AN74" s="43"/>
      <c r="AO74" s="43"/>
      <c r="AP74" s="43"/>
      <c r="AQ74" s="8"/>
      <c r="AR74" s="43" t="s">
        <v>64</v>
      </c>
      <c r="AS74" s="8"/>
      <c r="AT74" s="8"/>
      <c r="AU74" s="8"/>
      <c r="AV74" s="8"/>
      <c r="AW74" s="8"/>
      <c r="AX74" s="8"/>
      <c r="AY74" s="8"/>
      <c r="AZ74" s="8"/>
      <c r="BA74" s="8"/>
      <c r="BB74" s="8"/>
    </row>
    <row r="75" spans="1:54" s="22" customFormat="1" ht="15" x14ac:dyDescent="0.25">
      <c r="A75" s="44" t="s">
        <v>93</v>
      </c>
      <c r="B75" s="45" t="s">
        <v>94</v>
      </c>
      <c r="C75" s="224" t="s">
        <v>95</v>
      </c>
      <c r="D75" s="224"/>
      <c r="E75" s="224"/>
      <c r="F75" s="224"/>
      <c r="G75" s="224"/>
      <c r="H75" s="46" t="s">
        <v>96</v>
      </c>
      <c r="I75" s="47">
        <f>52/100*$O$34</f>
        <v>52</v>
      </c>
      <c r="J75" s="48">
        <v>1</v>
      </c>
      <c r="K75" s="48">
        <v>52</v>
      </c>
      <c r="L75" s="54">
        <v>1062.45</v>
      </c>
      <c r="M75" s="49">
        <v>1.03</v>
      </c>
      <c r="N75" s="54">
        <v>1094.32</v>
      </c>
      <c r="O75" s="47"/>
      <c r="P75" s="96">
        <f>N75*I75</f>
        <v>56904.639999999999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43"/>
      <c r="AN75" s="43"/>
      <c r="AO75" s="43" t="s">
        <v>95</v>
      </c>
      <c r="AP75" s="43"/>
      <c r="AQ75" s="8"/>
      <c r="AR75" s="43"/>
      <c r="AS75" s="8"/>
      <c r="AT75" s="8"/>
      <c r="AU75" s="8"/>
      <c r="AV75" s="8"/>
      <c r="AW75" s="8"/>
      <c r="AX75" s="8"/>
      <c r="AY75" s="8"/>
      <c r="AZ75" s="8"/>
      <c r="BA75" s="8"/>
      <c r="BB75" s="8"/>
    </row>
    <row r="76" spans="1:54" s="22" customFormat="1" ht="15" x14ac:dyDescent="0.25">
      <c r="A76" s="64"/>
      <c r="B76" s="65"/>
      <c r="C76" s="222" t="s">
        <v>64</v>
      </c>
      <c r="D76" s="222"/>
      <c r="E76" s="222"/>
      <c r="F76" s="222"/>
      <c r="G76" s="222"/>
      <c r="H76" s="46"/>
      <c r="I76" s="47"/>
      <c r="J76" s="47"/>
      <c r="K76" s="47"/>
      <c r="L76" s="50"/>
      <c r="M76" s="47"/>
      <c r="N76" s="50"/>
      <c r="O76" s="47"/>
      <c r="P76" s="96">
        <f>P75</f>
        <v>56904.639999999999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43"/>
      <c r="AN76" s="43"/>
      <c r="AO76" s="43"/>
      <c r="AP76" s="43"/>
      <c r="AQ76" s="8"/>
      <c r="AR76" s="43" t="s">
        <v>64</v>
      </c>
      <c r="AS76" s="8"/>
      <c r="AT76" s="8"/>
      <c r="AU76" s="8"/>
      <c r="AV76" s="8"/>
      <c r="AW76" s="8"/>
      <c r="AX76" s="8"/>
      <c r="AY76" s="8"/>
      <c r="AZ76" s="8"/>
      <c r="BA76" s="8"/>
      <c r="BB76" s="8"/>
    </row>
    <row r="77" spans="1:54" s="22" customFormat="1" ht="34.5" x14ac:dyDescent="0.25">
      <c r="A77" s="44" t="s">
        <v>97</v>
      </c>
      <c r="B77" s="45" t="s">
        <v>98</v>
      </c>
      <c r="C77" s="224" t="s">
        <v>99</v>
      </c>
      <c r="D77" s="224"/>
      <c r="E77" s="224"/>
      <c r="F77" s="224"/>
      <c r="G77" s="224"/>
      <c r="H77" s="46" t="s">
        <v>72</v>
      </c>
      <c r="I77" s="47">
        <f>0.84/100*$O$34</f>
        <v>0.84</v>
      </c>
      <c r="J77" s="48">
        <v>1</v>
      </c>
      <c r="K77" s="49">
        <v>0.84</v>
      </c>
      <c r="L77" s="50"/>
      <c r="M77" s="47"/>
      <c r="N77" s="50"/>
      <c r="O77" s="47"/>
      <c r="P77" s="96"/>
      <c r="Q77" s="4"/>
      <c r="R77" s="4"/>
      <c r="S77" s="4"/>
      <c r="T77" s="4"/>
      <c r="U77" s="4"/>
      <c r="V77" s="4"/>
      <c r="W77" s="4"/>
      <c r="X77" s="4"/>
      <c r="Y77" s="4"/>
      <c r="Z77" s="4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43"/>
      <c r="AN77" s="43"/>
      <c r="AO77" s="43" t="s">
        <v>99</v>
      </c>
      <c r="AP77" s="43"/>
      <c r="AQ77" s="8"/>
      <c r="AR77" s="43"/>
      <c r="AS77" s="8"/>
      <c r="AT77" s="8"/>
      <c r="AU77" s="8"/>
      <c r="AV77" s="8"/>
      <c r="AW77" s="8"/>
      <c r="AX77" s="8"/>
      <c r="AY77" s="8"/>
      <c r="AZ77" s="8"/>
      <c r="BA77" s="8"/>
      <c r="BB77" s="8"/>
    </row>
    <row r="78" spans="1:54" s="22" customFormat="1" ht="15" x14ac:dyDescent="0.25">
      <c r="A78" s="52"/>
      <c r="B78" s="53"/>
      <c r="C78" s="222" t="s">
        <v>57</v>
      </c>
      <c r="D78" s="222"/>
      <c r="E78" s="222"/>
      <c r="F78" s="222"/>
      <c r="G78" s="222"/>
      <c r="H78" s="46"/>
      <c r="I78" s="47"/>
      <c r="J78" s="47"/>
      <c r="K78" s="47"/>
      <c r="L78" s="50"/>
      <c r="M78" s="47"/>
      <c r="N78" s="54"/>
      <c r="O78" s="47"/>
      <c r="P78" s="96">
        <f>13012.05/100*$O$34</f>
        <v>13012.05</v>
      </c>
      <c r="Q78" s="56"/>
      <c r="R78" s="56"/>
      <c r="S78" s="4"/>
      <c r="T78" s="4"/>
      <c r="U78" s="4"/>
      <c r="V78" s="4"/>
      <c r="W78" s="4"/>
      <c r="X78" s="4"/>
      <c r="Y78" s="4"/>
      <c r="Z78" s="4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43"/>
      <c r="AN78" s="43"/>
      <c r="AO78" s="43"/>
      <c r="AP78" s="43" t="s">
        <v>57</v>
      </c>
      <c r="AQ78" s="8"/>
      <c r="AR78" s="43"/>
      <c r="AS78" s="8"/>
      <c r="AT78" s="8"/>
      <c r="AU78" s="8"/>
      <c r="AV78" s="8"/>
      <c r="AW78" s="8"/>
      <c r="AX78" s="8"/>
      <c r="AY78" s="8"/>
      <c r="AZ78" s="8"/>
      <c r="BA78" s="8"/>
      <c r="BB78" s="8"/>
    </row>
    <row r="79" spans="1:54" s="22" customFormat="1" ht="15" x14ac:dyDescent="0.25">
      <c r="A79" s="57"/>
      <c r="B79" s="58"/>
      <c r="C79" s="223" t="s">
        <v>58</v>
      </c>
      <c r="D79" s="223"/>
      <c r="E79" s="223"/>
      <c r="F79" s="223"/>
      <c r="G79" s="223"/>
      <c r="H79" s="59"/>
      <c r="I79" s="60"/>
      <c r="J79" s="60"/>
      <c r="K79" s="60"/>
      <c r="L79" s="61"/>
      <c r="M79" s="60"/>
      <c r="N79" s="61"/>
      <c r="O79" s="60"/>
      <c r="P79" s="95">
        <f>12869.33/100*$O$34</f>
        <v>12869.33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43"/>
      <c r="AN79" s="43"/>
      <c r="AO79" s="43"/>
      <c r="AP79" s="43"/>
      <c r="AQ79" s="8" t="s">
        <v>58</v>
      </c>
      <c r="AR79" s="43"/>
      <c r="AS79" s="8"/>
      <c r="AT79" s="8"/>
      <c r="AU79" s="8"/>
      <c r="AV79" s="8"/>
      <c r="AW79" s="8"/>
      <c r="AX79" s="8"/>
      <c r="AY79" s="8"/>
      <c r="AZ79" s="8"/>
      <c r="BA79" s="8"/>
      <c r="BB79" s="8"/>
    </row>
    <row r="80" spans="1:54" s="22" customFormat="1" ht="15" x14ac:dyDescent="0.25">
      <c r="A80" s="57"/>
      <c r="B80" s="58" t="s">
        <v>100</v>
      </c>
      <c r="C80" s="223" t="s">
        <v>101</v>
      </c>
      <c r="D80" s="223"/>
      <c r="E80" s="223"/>
      <c r="F80" s="223"/>
      <c r="G80" s="223"/>
      <c r="H80" s="59" t="s">
        <v>61</v>
      </c>
      <c r="I80" s="63">
        <v>147</v>
      </c>
      <c r="J80" s="60"/>
      <c r="K80" s="63">
        <v>147</v>
      </c>
      <c r="L80" s="61"/>
      <c r="M80" s="60"/>
      <c r="N80" s="61"/>
      <c r="O80" s="60"/>
      <c r="P80" s="95">
        <f>P79*K80%</f>
        <v>18917.915099999998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43"/>
      <c r="AN80" s="43"/>
      <c r="AO80" s="43"/>
      <c r="AP80" s="43"/>
      <c r="AQ80" s="8" t="s">
        <v>101</v>
      </c>
      <c r="AR80" s="43"/>
      <c r="AS80" s="8"/>
      <c r="AT80" s="8"/>
      <c r="AU80" s="8"/>
      <c r="AV80" s="8"/>
      <c r="AW80" s="8"/>
      <c r="AX80" s="8"/>
      <c r="AY80" s="8"/>
      <c r="AZ80" s="8"/>
      <c r="BA80" s="8"/>
      <c r="BB80" s="8"/>
    </row>
    <row r="81" spans="1:54" s="22" customFormat="1" ht="15" x14ac:dyDescent="0.25">
      <c r="A81" s="57"/>
      <c r="B81" s="58" t="s">
        <v>102</v>
      </c>
      <c r="C81" s="223" t="s">
        <v>103</v>
      </c>
      <c r="D81" s="223"/>
      <c r="E81" s="223"/>
      <c r="F81" s="223"/>
      <c r="G81" s="223"/>
      <c r="H81" s="59" t="s">
        <v>61</v>
      </c>
      <c r="I81" s="63">
        <v>134</v>
      </c>
      <c r="J81" s="60"/>
      <c r="K81" s="63">
        <v>134</v>
      </c>
      <c r="L81" s="61"/>
      <c r="M81" s="60"/>
      <c r="N81" s="61"/>
      <c r="O81" s="60"/>
      <c r="P81" s="95">
        <f>P79*K81%</f>
        <v>17244.9022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43"/>
      <c r="AN81" s="43"/>
      <c r="AO81" s="43"/>
      <c r="AP81" s="43"/>
      <c r="AQ81" s="8" t="s">
        <v>103</v>
      </c>
      <c r="AR81" s="43"/>
      <c r="AS81" s="8"/>
      <c r="AT81" s="8"/>
      <c r="AU81" s="8"/>
      <c r="AV81" s="8"/>
      <c r="AW81" s="8"/>
      <c r="AX81" s="8"/>
      <c r="AY81" s="8"/>
      <c r="AZ81" s="8"/>
      <c r="BA81" s="8"/>
      <c r="BB81" s="8"/>
    </row>
    <row r="82" spans="1:54" s="22" customFormat="1" ht="15" x14ac:dyDescent="0.25">
      <c r="A82" s="64"/>
      <c r="B82" s="65"/>
      <c r="C82" s="222" t="s">
        <v>64</v>
      </c>
      <c r="D82" s="222"/>
      <c r="E82" s="222"/>
      <c r="F82" s="222"/>
      <c r="G82" s="222"/>
      <c r="H82" s="46"/>
      <c r="I82" s="47"/>
      <c r="J82" s="47"/>
      <c r="K82" s="47"/>
      <c r="L82" s="50"/>
      <c r="M82" s="47"/>
      <c r="N82" s="54">
        <v>58541.51</v>
      </c>
      <c r="O82" s="47"/>
      <c r="P82" s="96">
        <f>P78+P80+P81</f>
        <v>49174.867299999998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43"/>
      <c r="AN82" s="43"/>
      <c r="AO82" s="43"/>
      <c r="AP82" s="43"/>
      <c r="AQ82" s="8"/>
      <c r="AR82" s="43" t="s">
        <v>64</v>
      </c>
      <c r="AS82" s="8"/>
      <c r="AT82" s="8"/>
      <c r="AU82" s="8"/>
      <c r="AV82" s="8"/>
      <c r="AW82" s="8"/>
      <c r="AX82" s="8"/>
      <c r="AY82" s="8"/>
      <c r="AZ82" s="8"/>
      <c r="BA82" s="8"/>
      <c r="BB82" s="8"/>
    </row>
    <row r="83" spans="1:54" s="22" customFormat="1" ht="23.25" x14ac:dyDescent="0.25">
      <c r="A83" s="44" t="s">
        <v>104</v>
      </c>
      <c r="B83" s="45" t="s">
        <v>105</v>
      </c>
      <c r="C83" s="224" t="s">
        <v>106</v>
      </c>
      <c r="D83" s="224"/>
      <c r="E83" s="224"/>
      <c r="F83" s="224"/>
      <c r="G83" s="224"/>
      <c r="H83" s="46" t="s">
        <v>107</v>
      </c>
      <c r="I83" s="47">
        <f>1008/100*$O$34</f>
        <v>1008</v>
      </c>
      <c r="J83" s="48">
        <v>1</v>
      </c>
      <c r="K83" s="48">
        <v>1008</v>
      </c>
      <c r="L83" s="68">
        <v>44.74</v>
      </c>
      <c r="M83" s="49">
        <v>1.07</v>
      </c>
      <c r="N83" s="68">
        <v>47.87</v>
      </c>
      <c r="O83" s="47"/>
      <c r="P83" s="96">
        <f>N83*I83</f>
        <v>48252.959999999999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43"/>
      <c r="AN83" s="43"/>
      <c r="AO83" s="43" t="s">
        <v>106</v>
      </c>
      <c r="AP83" s="43"/>
      <c r="AQ83" s="8"/>
      <c r="AR83" s="43"/>
      <c r="AS83" s="8"/>
      <c r="AT83" s="8"/>
      <c r="AU83" s="8"/>
      <c r="AV83" s="8"/>
      <c r="AW83" s="8"/>
      <c r="AX83" s="8"/>
      <c r="AY83" s="8"/>
      <c r="AZ83" s="8"/>
      <c r="BA83" s="8"/>
      <c r="BB83" s="8"/>
    </row>
    <row r="84" spans="1:54" s="22" customFormat="1" ht="15" x14ac:dyDescent="0.25">
      <c r="A84" s="64"/>
      <c r="B84" s="65"/>
      <c r="C84" s="222" t="s">
        <v>64</v>
      </c>
      <c r="D84" s="222"/>
      <c r="E84" s="222"/>
      <c r="F84" s="222"/>
      <c r="G84" s="222"/>
      <c r="H84" s="46"/>
      <c r="I84" s="47"/>
      <c r="J84" s="47"/>
      <c r="K84" s="47"/>
      <c r="L84" s="50"/>
      <c r="M84" s="47"/>
      <c r="N84" s="50"/>
      <c r="O84" s="47"/>
      <c r="P84" s="96">
        <f>P83</f>
        <v>48252.959999999999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43"/>
      <c r="AN84" s="43"/>
      <c r="AO84" s="43"/>
      <c r="AP84" s="43"/>
      <c r="AQ84" s="8"/>
      <c r="AR84" s="43" t="s">
        <v>64</v>
      </c>
      <c r="AS84" s="8"/>
      <c r="AT84" s="8"/>
      <c r="AU84" s="8"/>
      <c r="AV84" s="8"/>
      <c r="AW84" s="8"/>
      <c r="AX84" s="8"/>
      <c r="AY84" s="8"/>
      <c r="AZ84" s="8"/>
      <c r="BA84" s="8"/>
      <c r="BB84" s="8"/>
    </row>
    <row r="85" spans="1:54" s="22" customFormat="1" ht="23.25" x14ac:dyDescent="0.25">
      <c r="A85" s="44" t="s">
        <v>108</v>
      </c>
      <c r="B85" s="45" t="s">
        <v>109</v>
      </c>
      <c r="C85" s="224" t="s">
        <v>110</v>
      </c>
      <c r="D85" s="224"/>
      <c r="E85" s="224"/>
      <c r="F85" s="224"/>
      <c r="G85" s="224"/>
      <c r="H85" s="46" t="s">
        <v>56</v>
      </c>
      <c r="I85" s="47">
        <f>0.816/100*$O$34</f>
        <v>0.81599999999999984</v>
      </c>
      <c r="J85" s="48">
        <v>1</v>
      </c>
      <c r="K85" s="70">
        <v>0.81599999999999995</v>
      </c>
      <c r="L85" s="50"/>
      <c r="M85" s="47"/>
      <c r="N85" s="50"/>
      <c r="O85" s="47"/>
      <c r="P85" s="96"/>
      <c r="Q85" s="4"/>
      <c r="R85" s="4"/>
      <c r="S85" s="4"/>
      <c r="T85" s="4"/>
      <c r="U85" s="4"/>
      <c r="V85" s="4"/>
      <c r="W85" s="4"/>
      <c r="X85" s="4"/>
      <c r="Y85" s="4"/>
      <c r="Z85" s="4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43"/>
      <c r="AN85" s="43"/>
      <c r="AO85" s="43" t="s">
        <v>110</v>
      </c>
      <c r="AP85" s="43"/>
      <c r="AQ85" s="8"/>
      <c r="AR85" s="43"/>
      <c r="AS85" s="8"/>
      <c r="AT85" s="8"/>
      <c r="AU85" s="8"/>
      <c r="AV85" s="8"/>
      <c r="AW85" s="8"/>
      <c r="AX85" s="8"/>
      <c r="AY85" s="8"/>
      <c r="AZ85" s="8"/>
      <c r="BA85" s="8"/>
      <c r="BB85" s="8"/>
    </row>
    <row r="86" spans="1:54" s="22" customFormat="1" ht="15" x14ac:dyDescent="0.25">
      <c r="A86" s="52"/>
      <c r="B86" s="53"/>
      <c r="C86" s="222" t="s">
        <v>57</v>
      </c>
      <c r="D86" s="222"/>
      <c r="E86" s="222"/>
      <c r="F86" s="222"/>
      <c r="G86" s="222"/>
      <c r="H86" s="46"/>
      <c r="I86" s="47"/>
      <c r="J86" s="47"/>
      <c r="K86" s="47"/>
      <c r="L86" s="50"/>
      <c r="M86" s="47"/>
      <c r="N86" s="54"/>
      <c r="O86" s="47"/>
      <c r="P86" s="96">
        <f>117557.77/100*$O$34</f>
        <v>117557.77</v>
      </c>
      <c r="Q86" s="56"/>
      <c r="R86" s="56"/>
      <c r="S86" s="4"/>
      <c r="T86" s="4"/>
      <c r="U86" s="4"/>
      <c r="V86" s="4"/>
      <c r="W86" s="4"/>
      <c r="X86" s="4"/>
      <c r="Y86" s="4"/>
      <c r="Z86" s="4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43"/>
      <c r="AN86" s="43"/>
      <c r="AO86" s="43"/>
      <c r="AP86" s="43" t="s">
        <v>57</v>
      </c>
      <c r="AQ86" s="8"/>
      <c r="AR86" s="43"/>
      <c r="AS86" s="8"/>
      <c r="AT86" s="8"/>
      <c r="AU86" s="8"/>
      <c r="AV86" s="8"/>
      <c r="AW86" s="8"/>
      <c r="AX86" s="8"/>
      <c r="AY86" s="8"/>
      <c r="AZ86" s="8"/>
      <c r="BA86" s="8"/>
      <c r="BB86" s="8"/>
    </row>
    <row r="87" spans="1:54" s="22" customFormat="1" ht="15" x14ac:dyDescent="0.25">
      <c r="A87" s="57"/>
      <c r="B87" s="58"/>
      <c r="C87" s="223" t="s">
        <v>58</v>
      </c>
      <c r="D87" s="223"/>
      <c r="E87" s="223"/>
      <c r="F87" s="223"/>
      <c r="G87" s="223"/>
      <c r="H87" s="59"/>
      <c r="I87" s="60"/>
      <c r="J87" s="60"/>
      <c r="K87" s="60"/>
      <c r="L87" s="61"/>
      <c r="M87" s="60"/>
      <c r="N87" s="61"/>
      <c r="O87" s="60"/>
      <c r="P87" s="95">
        <f>62568.82/100*$O$34</f>
        <v>62568.820000000007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43"/>
      <c r="AN87" s="43"/>
      <c r="AO87" s="43"/>
      <c r="AP87" s="43"/>
      <c r="AQ87" s="8" t="s">
        <v>58</v>
      </c>
      <c r="AR87" s="43"/>
      <c r="AS87" s="8"/>
      <c r="AT87" s="8"/>
      <c r="AU87" s="8"/>
      <c r="AV87" s="8"/>
      <c r="AW87" s="8"/>
      <c r="AX87" s="8"/>
      <c r="AY87" s="8"/>
      <c r="AZ87" s="8"/>
      <c r="BA87" s="8"/>
      <c r="BB87" s="8"/>
    </row>
    <row r="88" spans="1:54" s="22" customFormat="1" ht="15" x14ac:dyDescent="0.25">
      <c r="A88" s="57"/>
      <c r="B88" s="58" t="s">
        <v>111</v>
      </c>
      <c r="C88" s="223" t="s">
        <v>112</v>
      </c>
      <c r="D88" s="223"/>
      <c r="E88" s="223"/>
      <c r="F88" s="223"/>
      <c r="G88" s="223"/>
      <c r="H88" s="59" t="s">
        <v>61</v>
      </c>
      <c r="I88" s="63">
        <v>94</v>
      </c>
      <c r="J88" s="60"/>
      <c r="K88" s="63">
        <v>94</v>
      </c>
      <c r="L88" s="61"/>
      <c r="M88" s="60"/>
      <c r="N88" s="61"/>
      <c r="O88" s="60"/>
      <c r="P88" s="95">
        <f>P87*K88%</f>
        <v>58814.690800000004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43"/>
      <c r="AN88" s="43"/>
      <c r="AO88" s="43"/>
      <c r="AP88" s="43"/>
      <c r="AQ88" s="8" t="s">
        <v>112</v>
      </c>
      <c r="AR88" s="43"/>
      <c r="AS88" s="8"/>
      <c r="AT88" s="8"/>
      <c r="AU88" s="8"/>
      <c r="AV88" s="8"/>
      <c r="AW88" s="8"/>
      <c r="AX88" s="8"/>
      <c r="AY88" s="8"/>
      <c r="AZ88" s="8"/>
      <c r="BA88" s="8"/>
      <c r="BB88" s="8"/>
    </row>
    <row r="89" spans="1:54" s="22" customFormat="1" ht="15" x14ac:dyDescent="0.25">
      <c r="A89" s="57"/>
      <c r="B89" s="58" t="s">
        <v>113</v>
      </c>
      <c r="C89" s="223" t="s">
        <v>114</v>
      </c>
      <c r="D89" s="223"/>
      <c r="E89" s="223"/>
      <c r="F89" s="223"/>
      <c r="G89" s="223"/>
      <c r="H89" s="59" t="s">
        <v>61</v>
      </c>
      <c r="I89" s="63">
        <v>51</v>
      </c>
      <c r="J89" s="60"/>
      <c r="K89" s="63">
        <v>51</v>
      </c>
      <c r="L89" s="61"/>
      <c r="M89" s="60"/>
      <c r="N89" s="61"/>
      <c r="O89" s="60"/>
      <c r="P89" s="95">
        <f>P87*K89%</f>
        <v>31910.098200000004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43"/>
      <c r="AN89" s="43"/>
      <c r="AO89" s="43"/>
      <c r="AP89" s="43"/>
      <c r="AQ89" s="8" t="s">
        <v>114</v>
      </c>
      <c r="AR89" s="43"/>
      <c r="AS89" s="8"/>
      <c r="AT89" s="8"/>
      <c r="AU89" s="8"/>
      <c r="AV89" s="8"/>
      <c r="AW89" s="8"/>
      <c r="AX89" s="8"/>
      <c r="AY89" s="8"/>
      <c r="AZ89" s="8"/>
      <c r="BA89" s="8"/>
      <c r="BB89" s="8"/>
    </row>
    <row r="90" spans="1:54" s="22" customFormat="1" ht="15" x14ac:dyDescent="0.25">
      <c r="A90" s="64"/>
      <c r="B90" s="65"/>
      <c r="C90" s="222" t="s">
        <v>64</v>
      </c>
      <c r="D90" s="222"/>
      <c r="E90" s="222"/>
      <c r="F90" s="222"/>
      <c r="G90" s="222"/>
      <c r="H90" s="46"/>
      <c r="I90" s="47"/>
      <c r="J90" s="47"/>
      <c r="K90" s="47"/>
      <c r="L90" s="50"/>
      <c r="M90" s="47"/>
      <c r="N90" s="54">
        <v>255248.24</v>
      </c>
      <c r="O90" s="47"/>
      <c r="P90" s="96">
        <f>P86+P88+P89</f>
        <v>208282.55900000001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43"/>
      <c r="AN90" s="43"/>
      <c r="AO90" s="43"/>
      <c r="AP90" s="43"/>
      <c r="AQ90" s="8"/>
      <c r="AR90" s="43" t="s">
        <v>64</v>
      </c>
      <c r="AS90" s="8"/>
      <c r="AT90" s="8"/>
      <c r="AU90" s="8"/>
      <c r="AV90" s="8"/>
      <c r="AW90" s="8"/>
      <c r="AX90" s="8"/>
      <c r="AY90" s="8"/>
      <c r="AZ90" s="8"/>
      <c r="BA90" s="8"/>
      <c r="BB90" s="8"/>
    </row>
    <row r="91" spans="1:54" s="22" customFormat="1" ht="23.25" x14ac:dyDescent="0.25">
      <c r="A91" s="44" t="s">
        <v>115</v>
      </c>
      <c r="B91" s="45" t="s">
        <v>116</v>
      </c>
      <c r="C91" s="224" t="s">
        <v>117</v>
      </c>
      <c r="D91" s="224"/>
      <c r="E91" s="224"/>
      <c r="F91" s="224"/>
      <c r="G91" s="224"/>
      <c r="H91" s="46" t="s">
        <v>118</v>
      </c>
      <c r="I91" s="47">
        <f>240/100*$O$34</f>
        <v>240</v>
      </c>
      <c r="J91" s="48">
        <v>1</v>
      </c>
      <c r="K91" s="48">
        <v>240</v>
      </c>
      <c r="L91" s="50"/>
      <c r="M91" s="47"/>
      <c r="N91" s="54">
        <v>10860</v>
      </c>
      <c r="O91" s="47"/>
      <c r="P91" s="96">
        <f>N91*I91</f>
        <v>2606400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43"/>
      <c r="AN91" s="43"/>
      <c r="AO91" s="43" t="s">
        <v>117</v>
      </c>
      <c r="AP91" s="43"/>
      <c r="AQ91" s="8"/>
      <c r="AR91" s="43"/>
      <c r="AS91" s="8"/>
      <c r="AT91" s="8"/>
      <c r="AU91" s="8"/>
      <c r="AV91" s="8"/>
      <c r="AW91" s="8"/>
      <c r="AX91" s="8"/>
      <c r="AY91" s="8"/>
      <c r="AZ91" s="8"/>
      <c r="BA91" s="8"/>
      <c r="BB91" s="8"/>
    </row>
    <row r="92" spans="1:54" s="22" customFormat="1" ht="15" x14ac:dyDescent="0.25">
      <c r="A92" s="64"/>
      <c r="B92" s="65"/>
      <c r="C92" s="222" t="s">
        <v>64</v>
      </c>
      <c r="D92" s="222"/>
      <c r="E92" s="222"/>
      <c r="F92" s="222"/>
      <c r="G92" s="222"/>
      <c r="H92" s="46"/>
      <c r="I92" s="47"/>
      <c r="J92" s="47"/>
      <c r="K92" s="47"/>
      <c r="L92" s="50"/>
      <c r="M92" s="47"/>
      <c r="N92" s="50"/>
      <c r="O92" s="47"/>
      <c r="P92" s="96">
        <f>P91</f>
        <v>2606400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43"/>
      <c r="AN92" s="43"/>
      <c r="AO92" s="43"/>
      <c r="AP92" s="43"/>
      <c r="AQ92" s="8"/>
      <c r="AR92" s="43" t="s">
        <v>64</v>
      </c>
      <c r="AS92" s="8"/>
      <c r="AT92" s="8"/>
      <c r="AU92" s="8"/>
      <c r="AV92" s="8"/>
      <c r="AW92" s="8"/>
      <c r="AX92" s="8"/>
      <c r="AY92" s="8"/>
      <c r="AZ92" s="8"/>
      <c r="BA92" s="8"/>
      <c r="BB92" s="8"/>
    </row>
    <row r="93" spans="1:54" s="22" customFormat="1" ht="15" x14ac:dyDescent="0.25">
      <c r="A93" s="44" t="s">
        <v>119</v>
      </c>
      <c r="B93" s="45" t="s">
        <v>120</v>
      </c>
      <c r="C93" s="224" t="s">
        <v>121</v>
      </c>
      <c r="D93" s="224"/>
      <c r="E93" s="224"/>
      <c r="F93" s="224"/>
      <c r="G93" s="224"/>
      <c r="H93" s="46" t="s">
        <v>122</v>
      </c>
      <c r="I93" s="47">
        <f>9.3/100*$O$34</f>
        <v>9.3000000000000007</v>
      </c>
      <c r="J93" s="48">
        <v>1</v>
      </c>
      <c r="K93" s="67">
        <v>9.3000000000000007</v>
      </c>
      <c r="L93" s="50"/>
      <c r="M93" s="47"/>
      <c r="N93" s="50"/>
      <c r="O93" s="47"/>
      <c r="P93" s="96"/>
      <c r="Q93" s="4"/>
      <c r="R93" s="4"/>
      <c r="S93" s="4"/>
      <c r="T93" s="4"/>
      <c r="U93" s="4"/>
      <c r="V93" s="4"/>
      <c r="W93" s="4"/>
      <c r="X93" s="4"/>
      <c r="Y93" s="4"/>
      <c r="Z93" s="4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43"/>
      <c r="AN93" s="43"/>
      <c r="AO93" s="43" t="s">
        <v>121</v>
      </c>
      <c r="AP93" s="43"/>
      <c r="AQ93" s="8"/>
      <c r="AR93" s="43"/>
      <c r="AS93" s="8"/>
      <c r="AT93" s="8"/>
      <c r="AU93" s="8"/>
      <c r="AV93" s="8"/>
      <c r="AW93" s="8"/>
      <c r="AX93" s="8"/>
      <c r="AY93" s="8"/>
      <c r="AZ93" s="8"/>
      <c r="BA93" s="8"/>
      <c r="BB93" s="8"/>
    </row>
    <row r="94" spans="1:54" s="22" customFormat="1" ht="15" x14ac:dyDescent="0.25">
      <c r="A94" s="52"/>
      <c r="B94" s="53"/>
      <c r="C94" s="222" t="s">
        <v>57</v>
      </c>
      <c r="D94" s="222"/>
      <c r="E94" s="222"/>
      <c r="F94" s="222"/>
      <c r="G94" s="222"/>
      <c r="H94" s="46"/>
      <c r="I94" s="47"/>
      <c r="J94" s="47"/>
      <c r="K94" s="47"/>
      <c r="L94" s="50"/>
      <c r="M94" s="47"/>
      <c r="N94" s="54"/>
      <c r="O94" s="47"/>
      <c r="P94" s="96">
        <f>46937.14/100*$O$34</f>
        <v>46937.14</v>
      </c>
      <c r="Q94" s="56"/>
      <c r="R94" s="56"/>
      <c r="S94" s="4"/>
      <c r="T94" s="4"/>
      <c r="U94" s="4"/>
      <c r="V94" s="4"/>
      <c r="W94" s="4"/>
      <c r="X94" s="4"/>
      <c r="Y94" s="4"/>
      <c r="Z94" s="4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43"/>
      <c r="AN94" s="43"/>
      <c r="AO94" s="43"/>
      <c r="AP94" s="43" t="s">
        <v>57</v>
      </c>
      <c r="AQ94" s="8"/>
      <c r="AR94" s="43"/>
      <c r="AS94" s="8"/>
      <c r="AT94" s="8"/>
      <c r="AU94" s="8"/>
      <c r="AV94" s="8"/>
      <c r="AW94" s="8"/>
      <c r="AX94" s="8"/>
      <c r="AY94" s="8"/>
      <c r="AZ94" s="8"/>
      <c r="BA94" s="8"/>
      <c r="BB94" s="8"/>
    </row>
    <row r="95" spans="1:54" s="22" customFormat="1" ht="15" x14ac:dyDescent="0.25">
      <c r="A95" s="57"/>
      <c r="B95" s="58"/>
      <c r="C95" s="223" t="s">
        <v>58</v>
      </c>
      <c r="D95" s="223"/>
      <c r="E95" s="223"/>
      <c r="F95" s="223"/>
      <c r="G95" s="223"/>
      <c r="H95" s="59"/>
      <c r="I95" s="60"/>
      <c r="J95" s="60"/>
      <c r="K95" s="60"/>
      <c r="L95" s="61"/>
      <c r="M95" s="60"/>
      <c r="N95" s="61"/>
      <c r="O95" s="60"/>
      <c r="P95" s="95">
        <f>41663.86/100*$O$34</f>
        <v>41663.86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43"/>
      <c r="AN95" s="43"/>
      <c r="AO95" s="43"/>
      <c r="AP95" s="43"/>
      <c r="AQ95" s="8" t="s">
        <v>58</v>
      </c>
      <c r="AR95" s="43"/>
      <c r="AS95" s="8"/>
      <c r="AT95" s="8"/>
      <c r="AU95" s="8"/>
      <c r="AV95" s="8"/>
      <c r="AW95" s="8"/>
      <c r="AX95" s="8"/>
      <c r="AY95" s="8"/>
      <c r="AZ95" s="8"/>
      <c r="BA95" s="8"/>
      <c r="BB95" s="8"/>
    </row>
    <row r="96" spans="1:54" s="22" customFormat="1" ht="15" x14ac:dyDescent="0.25">
      <c r="A96" s="57"/>
      <c r="B96" s="58" t="s">
        <v>123</v>
      </c>
      <c r="C96" s="223" t="s">
        <v>124</v>
      </c>
      <c r="D96" s="223"/>
      <c r="E96" s="223"/>
      <c r="F96" s="223"/>
      <c r="G96" s="223"/>
      <c r="H96" s="59" t="s">
        <v>61</v>
      </c>
      <c r="I96" s="63">
        <v>97</v>
      </c>
      <c r="J96" s="60"/>
      <c r="K96" s="63">
        <v>97</v>
      </c>
      <c r="L96" s="61"/>
      <c r="M96" s="60"/>
      <c r="N96" s="61"/>
      <c r="O96" s="60"/>
      <c r="P96" s="95">
        <f>P95*K96%</f>
        <v>40413.944199999998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43"/>
      <c r="AN96" s="43"/>
      <c r="AO96" s="43"/>
      <c r="AP96" s="43"/>
      <c r="AQ96" s="8" t="s">
        <v>124</v>
      </c>
      <c r="AR96" s="43"/>
      <c r="AS96" s="8"/>
      <c r="AT96" s="8"/>
      <c r="AU96" s="8"/>
      <c r="AV96" s="8"/>
      <c r="AW96" s="8"/>
      <c r="AX96" s="8"/>
      <c r="AY96" s="8"/>
      <c r="AZ96" s="8"/>
      <c r="BA96" s="8"/>
      <c r="BB96" s="8"/>
    </row>
    <row r="97" spans="1:54" s="22" customFormat="1" ht="15" x14ac:dyDescent="0.25">
      <c r="A97" s="57"/>
      <c r="B97" s="58" t="s">
        <v>125</v>
      </c>
      <c r="C97" s="223" t="s">
        <v>126</v>
      </c>
      <c r="D97" s="223"/>
      <c r="E97" s="223"/>
      <c r="F97" s="223"/>
      <c r="G97" s="223"/>
      <c r="H97" s="59" t="s">
        <v>61</v>
      </c>
      <c r="I97" s="63">
        <v>51</v>
      </c>
      <c r="J97" s="60"/>
      <c r="K97" s="63">
        <v>51</v>
      </c>
      <c r="L97" s="61"/>
      <c r="M97" s="60"/>
      <c r="N97" s="61"/>
      <c r="O97" s="60"/>
      <c r="P97" s="95">
        <f>P95*K97%</f>
        <v>21248.568600000002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43"/>
      <c r="AN97" s="43"/>
      <c r="AO97" s="43"/>
      <c r="AP97" s="43"/>
      <c r="AQ97" s="8" t="s">
        <v>126</v>
      </c>
      <c r="AR97" s="43"/>
      <c r="AS97" s="8"/>
      <c r="AT97" s="8"/>
      <c r="AU97" s="8"/>
      <c r="AV97" s="8"/>
      <c r="AW97" s="8"/>
      <c r="AX97" s="8"/>
      <c r="AY97" s="8"/>
      <c r="AZ97" s="8"/>
      <c r="BA97" s="8"/>
      <c r="BB97" s="8"/>
    </row>
    <row r="98" spans="1:54" s="22" customFormat="1" ht="15" x14ac:dyDescent="0.25">
      <c r="A98" s="64"/>
      <c r="B98" s="65"/>
      <c r="C98" s="222" t="s">
        <v>64</v>
      </c>
      <c r="D98" s="222"/>
      <c r="E98" s="222"/>
      <c r="F98" s="222"/>
      <c r="G98" s="222"/>
      <c r="H98" s="46"/>
      <c r="I98" s="47"/>
      <c r="J98" s="47"/>
      <c r="K98" s="47"/>
      <c r="L98" s="50"/>
      <c r="M98" s="47"/>
      <c r="N98" s="54">
        <v>11766.98</v>
      </c>
      <c r="O98" s="47"/>
      <c r="P98" s="96">
        <f>P94+P96+P97</f>
        <v>108599.6528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43"/>
      <c r="AN98" s="43"/>
      <c r="AO98" s="43"/>
      <c r="AP98" s="43"/>
      <c r="AQ98" s="8"/>
      <c r="AR98" s="43" t="s">
        <v>64</v>
      </c>
      <c r="AS98" s="8"/>
      <c r="AT98" s="8"/>
      <c r="AU98" s="8"/>
      <c r="AV98" s="8"/>
      <c r="AW98" s="8"/>
      <c r="AX98" s="8"/>
      <c r="AY98" s="8"/>
      <c r="AZ98" s="8"/>
      <c r="BA98" s="8"/>
      <c r="BB98" s="8"/>
    </row>
    <row r="99" spans="1:54" s="22" customFormat="1" ht="23.25" x14ac:dyDescent="0.25">
      <c r="A99" s="44" t="s">
        <v>127</v>
      </c>
      <c r="B99" s="45" t="s">
        <v>128</v>
      </c>
      <c r="C99" s="224" t="s">
        <v>129</v>
      </c>
      <c r="D99" s="224"/>
      <c r="E99" s="224"/>
      <c r="F99" s="224"/>
      <c r="G99" s="224"/>
      <c r="H99" s="46" t="s">
        <v>118</v>
      </c>
      <c r="I99" s="47">
        <f>93/100*$O$34</f>
        <v>93</v>
      </c>
      <c r="J99" s="48">
        <v>1</v>
      </c>
      <c r="K99" s="48">
        <v>93</v>
      </c>
      <c r="L99" s="50"/>
      <c r="M99" s="47"/>
      <c r="N99" s="54">
        <v>3060</v>
      </c>
      <c r="O99" s="47"/>
      <c r="P99" s="96">
        <f>N99*I99</f>
        <v>284580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43"/>
      <c r="AN99" s="43"/>
      <c r="AO99" s="43" t="s">
        <v>129</v>
      </c>
      <c r="AP99" s="43"/>
      <c r="AQ99" s="8"/>
      <c r="AR99" s="43"/>
      <c r="AS99" s="8"/>
      <c r="AT99" s="8"/>
      <c r="AU99" s="8"/>
      <c r="AV99" s="8"/>
      <c r="AW99" s="8"/>
      <c r="AX99" s="8"/>
      <c r="AY99" s="8"/>
      <c r="AZ99" s="8"/>
      <c r="BA99" s="8"/>
      <c r="BB99" s="8"/>
    </row>
    <row r="100" spans="1:54" s="22" customFormat="1" ht="15" x14ac:dyDescent="0.25">
      <c r="A100" s="64"/>
      <c r="B100" s="65"/>
      <c r="C100" s="222" t="s">
        <v>64</v>
      </c>
      <c r="D100" s="222"/>
      <c r="E100" s="222"/>
      <c r="F100" s="222"/>
      <c r="G100" s="222"/>
      <c r="H100" s="46"/>
      <c r="I100" s="47"/>
      <c r="J100" s="47"/>
      <c r="K100" s="47"/>
      <c r="L100" s="50"/>
      <c r="M100" s="47"/>
      <c r="N100" s="50"/>
      <c r="O100" s="47"/>
      <c r="P100" s="96">
        <f>P99</f>
        <v>284580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43"/>
      <c r="AN100" s="43"/>
      <c r="AO100" s="43"/>
      <c r="AP100" s="43"/>
      <c r="AQ100" s="8"/>
      <c r="AR100" s="43" t="s">
        <v>64</v>
      </c>
      <c r="AS100" s="8"/>
      <c r="AT100" s="8"/>
      <c r="AU100" s="8"/>
      <c r="AV100" s="8"/>
      <c r="AW100" s="8"/>
      <c r="AX100" s="8"/>
      <c r="AY100" s="8"/>
      <c r="AZ100" s="8"/>
      <c r="BA100" s="8"/>
      <c r="BB100" s="8"/>
    </row>
    <row r="101" spans="1:54" s="22" customFormat="1" ht="15" x14ac:dyDescent="0.25">
      <c r="A101" s="44" t="s">
        <v>130</v>
      </c>
      <c r="B101" s="45" t="s">
        <v>131</v>
      </c>
      <c r="C101" s="224" t="s">
        <v>132</v>
      </c>
      <c r="D101" s="224"/>
      <c r="E101" s="224"/>
      <c r="F101" s="224"/>
      <c r="G101" s="224"/>
      <c r="H101" s="46" t="s">
        <v>96</v>
      </c>
      <c r="I101" s="47">
        <f>18/100*$O$34</f>
        <v>18</v>
      </c>
      <c r="J101" s="48">
        <v>1</v>
      </c>
      <c r="K101" s="48">
        <v>18</v>
      </c>
      <c r="L101" s="50"/>
      <c r="M101" s="47"/>
      <c r="N101" s="50"/>
      <c r="O101" s="47"/>
      <c r="P101" s="96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43"/>
      <c r="AN101" s="43"/>
      <c r="AO101" s="43" t="s">
        <v>132</v>
      </c>
      <c r="AP101" s="43"/>
      <c r="AQ101" s="8"/>
      <c r="AR101" s="43"/>
      <c r="AS101" s="8"/>
      <c r="AT101" s="8"/>
      <c r="AU101" s="8"/>
      <c r="AV101" s="8"/>
      <c r="AW101" s="8"/>
      <c r="AX101" s="8"/>
      <c r="AY101" s="8"/>
      <c r="AZ101" s="8"/>
      <c r="BA101" s="8"/>
      <c r="BB101" s="8"/>
    </row>
    <row r="102" spans="1:54" s="22" customFormat="1" ht="15" x14ac:dyDescent="0.25">
      <c r="A102" s="52"/>
      <c r="B102" s="53"/>
      <c r="C102" s="222" t="s">
        <v>57</v>
      </c>
      <c r="D102" s="222"/>
      <c r="E102" s="222"/>
      <c r="F102" s="222"/>
      <c r="G102" s="222"/>
      <c r="H102" s="46"/>
      <c r="I102" s="47"/>
      <c r="J102" s="47"/>
      <c r="K102" s="47"/>
      <c r="L102" s="50"/>
      <c r="M102" s="47"/>
      <c r="N102" s="54"/>
      <c r="O102" s="47"/>
      <c r="P102" s="96">
        <f>7412.49/100*$O$34</f>
        <v>7412.49</v>
      </c>
      <c r="Q102" s="56"/>
      <c r="R102" s="56"/>
      <c r="S102" s="4"/>
      <c r="T102" s="4"/>
      <c r="U102" s="4"/>
      <c r="V102" s="4"/>
      <c r="W102" s="4"/>
      <c r="X102" s="4"/>
      <c r="Y102" s="4"/>
      <c r="Z102" s="4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43"/>
      <c r="AN102" s="43"/>
      <c r="AO102" s="43"/>
      <c r="AP102" s="43" t="s">
        <v>57</v>
      </c>
      <c r="AQ102" s="8"/>
      <c r="AR102" s="43"/>
      <c r="AS102" s="8"/>
      <c r="AT102" s="8"/>
      <c r="AU102" s="8"/>
      <c r="AV102" s="8"/>
      <c r="AW102" s="8"/>
      <c r="AX102" s="8"/>
      <c r="AY102" s="8"/>
      <c r="AZ102" s="8"/>
      <c r="BA102" s="8"/>
      <c r="BB102" s="8"/>
    </row>
    <row r="103" spans="1:54" s="22" customFormat="1" ht="15" x14ac:dyDescent="0.25">
      <c r="A103" s="57"/>
      <c r="B103" s="58"/>
      <c r="C103" s="223" t="s">
        <v>58</v>
      </c>
      <c r="D103" s="223"/>
      <c r="E103" s="223"/>
      <c r="F103" s="223"/>
      <c r="G103" s="223"/>
      <c r="H103" s="59"/>
      <c r="I103" s="60"/>
      <c r="J103" s="60"/>
      <c r="K103" s="60"/>
      <c r="L103" s="61"/>
      <c r="M103" s="60"/>
      <c r="N103" s="61"/>
      <c r="O103" s="60"/>
      <c r="P103" s="95">
        <f>5638.66/100*$O$34</f>
        <v>5638.66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43"/>
      <c r="AN103" s="43"/>
      <c r="AO103" s="43"/>
      <c r="AP103" s="43"/>
      <c r="AQ103" s="8" t="s">
        <v>58</v>
      </c>
      <c r="AR103" s="43"/>
      <c r="AS103" s="8"/>
      <c r="AT103" s="8"/>
      <c r="AU103" s="8"/>
      <c r="AV103" s="8"/>
      <c r="AW103" s="8"/>
      <c r="AX103" s="8"/>
      <c r="AY103" s="8"/>
      <c r="AZ103" s="8"/>
      <c r="BA103" s="8"/>
      <c r="BB103" s="8"/>
    </row>
    <row r="104" spans="1:54" s="22" customFormat="1" ht="15" x14ac:dyDescent="0.25">
      <c r="A104" s="57"/>
      <c r="B104" s="58" t="s">
        <v>133</v>
      </c>
      <c r="C104" s="223" t="s">
        <v>134</v>
      </c>
      <c r="D104" s="223"/>
      <c r="E104" s="223"/>
      <c r="F104" s="223"/>
      <c r="G104" s="223"/>
      <c r="H104" s="59" t="s">
        <v>61</v>
      </c>
      <c r="I104" s="63">
        <v>110</v>
      </c>
      <c r="J104" s="60"/>
      <c r="K104" s="63">
        <v>110</v>
      </c>
      <c r="L104" s="61"/>
      <c r="M104" s="60"/>
      <c r="N104" s="61"/>
      <c r="O104" s="60"/>
      <c r="P104" s="95">
        <f>P103*K104%</f>
        <v>6202.5260000000007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43"/>
      <c r="AN104" s="43"/>
      <c r="AO104" s="43"/>
      <c r="AP104" s="43"/>
      <c r="AQ104" s="8" t="s">
        <v>134</v>
      </c>
      <c r="AR104" s="43"/>
      <c r="AS104" s="8"/>
      <c r="AT104" s="8"/>
      <c r="AU104" s="8"/>
      <c r="AV104" s="8"/>
      <c r="AW104" s="8"/>
      <c r="AX104" s="8"/>
      <c r="AY104" s="8"/>
      <c r="AZ104" s="8"/>
      <c r="BA104" s="8"/>
      <c r="BB104" s="8"/>
    </row>
    <row r="105" spans="1:54" s="22" customFormat="1" ht="15" x14ac:dyDescent="0.25">
      <c r="A105" s="57"/>
      <c r="B105" s="58" t="s">
        <v>135</v>
      </c>
      <c r="C105" s="223" t="s">
        <v>136</v>
      </c>
      <c r="D105" s="223"/>
      <c r="E105" s="223"/>
      <c r="F105" s="223"/>
      <c r="G105" s="223"/>
      <c r="H105" s="59" t="s">
        <v>61</v>
      </c>
      <c r="I105" s="63">
        <v>69</v>
      </c>
      <c r="J105" s="60"/>
      <c r="K105" s="63">
        <v>69</v>
      </c>
      <c r="L105" s="61"/>
      <c r="M105" s="60"/>
      <c r="N105" s="61"/>
      <c r="O105" s="60"/>
      <c r="P105" s="95">
        <f>P103*K105%</f>
        <v>3890.6753999999996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43"/>
      <c r="AN105" s="43"/>
      <c r="AO105" s="43"/>
      <c r="AP105" s="43"/>
      <c r="AQ105" s="8" t="s">
        <v>136</v>
      </c>
      <c r="AR105" s="43"/>
      <c r="AS105" s="8"/>
      <c r="AT105" s="8"/>
      <c r="AU105" s="8"/>
      <c r="AV105" s="8"/>
      <c r="AW105" s="8"/>
      <c r="AX105" s="8"/>
      <c r="AY105" s="8"/>
      <c r="AZ105" s="8"/>
      <c r="BA105" s="8"/>
      <c r="BB105" s="8"/>
    </row>
    <row r="106" spans="1:54" s="22" customFormat="1" ht="15" x14ac:dyDescent="0.25">
      <c r="A106" s="64"/>
      <c r="B106" s="65"/>
      <c r="C106" s="222" t="s">
        <v>64</v>
      </c>
      <c r="D106" s="222"/>
      <c r="E106" s="222"/>
      <c r="F106" s="222"/>
      <c r="G106" s="222"/>
      <c r="H106" s="46"/>
      <c r="I106" s="47"/>
      <c r="J106" s="47"/>
      <c r="K106" s="47"/>
      <c r="L106" s="50"/>
      <c r="M106" s="47"/>
      <c r="N106" s="68">
        <v>972.54</v>
      </c>
      <c r="O106" s="47"/>
      <c r="P106" s="96">
        <f>P102+P104+P105</f>
        <v>17505.6914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43"/>
      <c r="AN106" s="43"/>
      <c r="AO106" s="43"/>
      <c r="AP106" s="43"/>
      <c r="AQ106" s="8"/>
      <c r="AR106" s="43" t="s">
        <v>64</v>
      </c>
      <c r="AS106" s="8"/>
      <c r="AT106" s="8"/>
      <c r="AU106" s="8"/>
      <c r="AV106" s="8"/>
      <c r="AW106" s="8"/>
      <c r="AX106" s="8"/>
      <c r="AY106" s="8"/>
      <c r="AZ106" s="8"/>
      <c r="BA106" s="8"/>
      <c r="BB106" s="8"/>
    </row>
    <row r="107" spans="1:54" s="22" customFormat="1" ht="23.25" x14ac:dyDescent="0.25">
      <c r="A107" s="44" t="s">
        <v>137</v>
      </c>
      <c r="B107" s="45" t="s">
        <v>138</v>
      </c>
      <c r="C107" s="224" t="s">
        <v>139</v>
      </c>
      <c r="D107" s="224"/>
      <c r="E107" s="224"/>
      <c r="F107" s="224"/>
      <c r="G107" s="224"/>
      <c r="H107" s="46" t="s">
        <v>96</v>
      </c>
      <c r="I107" s="47">
        <f>20.7/100*$O$34</f>
        <v>20.7</v>
      </c>
      <c r="J107" s="48">
        <v>1</v>
      </c>
      <c r="K107" s="67">
        <v>20.7</v>
      </c>
      <c r="L107" s="54">
        <v>1535.67</v>
      </c>
      <c r="M107" s="49">
        <v>1.25</v>
      </c>
      <c r="N107" s="54">
        <v>1919.59</v>
      </c>
      <c r="O107" s="47"/>
      <c r="P107" s="96">
        <f>N107*I107</f>
        <v>39735.512999999999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43"/>
      <c r="AN107" s="43"/>
      <c r="AO107" s="43" t="s">
        <v>139</v>
      </c>
      <c r="AP107" s="43"/>
      <c r="AQ107" s="8"/>
      <c r="AR107" s="43"/>
      <c r="AS107" s="8"/>
      <c r="AT107" s="8"/>
      <c r="AU107" s="8"/>
      <c r="AV107" s="8"/>
      <c r="AW107" s="8"/>
      <c r="AX107" s="8"/>
      <c r="AY107" s="8"/>
      <c r="AZ107" s="8"/>
      <c r="BA107" s="8"/>
      <c r="BB107" s="8"/>
    </row>
    <row r="108" spans="1:54" s="22" customFormat="1" ht="15" x14ac:dyDescent="0.25">
      <c r="A108" s="64"/>
      <c r="B108" s="65"/>
      <c r="C108" s="222" t="s">
        <v>64</v>
      </c>
      <c r="D108" s="222"/>
      <c r="E108" s="222"/>
      <c r="F108" s="222"/>
      <c r="G108" s="222"/>
      <c r="H108" s="46"/>
      <c r="I108" s="47"/>
      <c r="J108" s="47"/>
      <c r="K108" s="47"/>
      <c r="L108" s="50"/>
      <c r="M108" s="47"/>
      <c r="N108" s="50"/>
      <c r="O108" s="47"/>
      <c r="P108" s="96">
        <f>P107</f>
        <v>39735.512999999999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43"/>
      <c r="AN108" s="43"/>
      <c r="AO108" s="43"/>
      <c r="AP108" s="43"/>
      <c r="AQ108" s="8"/>
      <c r="AR108" s="43" t="s">
        <v>64</v>
      </c>
      <c r="AS108" s="8"/>
      <c r="AT108" s="8"/>
      <c r="AU108" s="8"/>
      <c r="AV108" s="8"/>
      <c r="AW108" s="8"/>
      <c r="AX108" s="8"/>
      <c r="AY108" s="8"/>
      <c r="AZ108" s="8"/>
      <c r="BA108" s="8"/>
      <c r="BB108" s="8"/>
    </row>
    <row r="109" spans="1:54" s="22" customFormat="1" ht="0" hidden="1" customHeight="1" x14ac:dyDescent="0.25">
      <c r="A109" s="71"/>
      <c r="B109" s="72"/>
      <c r="C109" s="72"/>
      <c r="D109" s="72"/>
      <c r="E109" s="72"/>
      <c r="F109" s="73"/>
      <c r="G109" s="73"/>
      <c r="H109" s="73"/>
      <c r="I109" s="73"/>
      <c r="J109" s="74"/>
      <c r="K109" s="73"/>
      <c r="L109" s="73"/>
      <c r="M109" s="73"/>
      <c r="N109" s="74"/>
      <c r="O109" s="75"/>
      <c r="P109" s="113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43"/>
      <c r="AN109" s="43"/>
      <c r="AO109" s="43"/>
      <c r="AP109" s="43"/>
      <c r="AQ109" s="8"/>
      <c r="AR109" s="43"/>
      <c r="AS109" s="8"/>
      <c r="AT109" s="8"/>
      <c r="AU109" s="8"/>
      <c r="AV109" s="8"/>
      <c r="AW109" s="8"/>
      <c r="AX109" s="8"/>
      <c r="AY109" s="8"/>
      <c r="AZ109" s="8"/>
      <c r="BA109" s="8"/>
      <c r="BB109" s="8"/>
    </row>
    <row r="110" spans="1:54" s="22" customFormat="1" ht="15" x14ac:dyDescent="0.25">
      <c r="A110" s="52"/>
      <c r="B110" s="76"/>
      <c r="C110" s="221" t="s">
        <v>140</v>
      </c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98"/>
      <c r="Q110" s="2"/>
      <c r="R110" s="2"/>
      <c r="S110" s="4"/>
      <c r="T110" s="4"/>
      <c r="U110" s="4"/>
      <c r="V110" s="4"/>
      <c r="W110" s="4"/>
      <c r="X110" s="4"/>
      <c r="Y110" s="4"/>
      <c r="Z110" s="4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43" t="s">
        <v>140</v>
      </c>
      <c r="AT110" s="8"/>
      <c r="AU110" s="8"/>
      <c r="AV110" s="8"/>
      <c r="AW110" s="8"/>
      <c r="AX110" s="8"/>
      <c r="AY110" s="8"/>
      <c r="AZ110" s="8"/>
      <c r="BA110" s="8"/>
      <c r="BB110" s="8"/>
    </row>
    <row r="111" spans="1:54" s="22" customFormat="1" ht="15" x14ac:dyDescent="0.25">
      <c r="A111" s="52"/>
      <c r="B111" s="53"/>
      <c r="C111" s="217" t="s">
        <v>141</v>
      </c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97">
        <f>3313580.71/100*$O$34</f>
        <v>3313580.71</v>
      </c>
      <c r="Q111" s="2"/>
      <c r="R111" s="2"/>
      <c r="S111" s="4"/>
      <c r="T111" s="4"/>
      <c r="U111" s="4"/>
      <c r="V111" s="4"/>
      <c r="W111" s="4"/>
      <c r="X111" s="4"/>
      <c r="Y111" s="4"/>
      <c r="Z111" s="4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43"/>
      <c r="AT111" s="3" t="s">
        <v>141</v>
      </c>
      <c r="AU111" s="8"/>
      <c r="AV111" s="8"/>
      <c r="AW111" s="8"/>
      <c r="AX111" s="8"/>
      <c r="AY111" s="8"/>
      <c r="AZ111" s="8"/>
      <c r="BA111" s="8"/>
      <c r="BB111" s="8"/>
    </row>
    <row r="112" spans="1:54" s="22" customFormat="1" ht="15" x14ac:dyDescent="0.25">
      <c r="A112" s="52"/>
      <c r="B112" s="53"/>
      <c r="C112" s="217" t="s">
        <v>142</v>
      </c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97">
        <f>3211117.73/100*$O$34</f>
        <v>3211117.73</v>
      </c>
      <c r="Q112" s="2"/>
      <c r="R112" s="2"/>
      <c r="S112" s="4"/>
      <c r="T112" s="4"/>
      <c r="U112" s="4"/>
      <c r="V112" s="4"/>
      <c r="W112" s="4"/>
      <c r="X112" s="4"/>
      <c r="Y112" s="4"/>
      <c r="Z112" s="4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43"/>
      <c r="AT112" s="3" t="s">
        <v>142</v>
      </c>
      <c r="AU112" s="8"/>
      <c r="AV112" s="8"/>
      <c r="AW112" s="8"/>
      <c r="AX112" s="8"/>
      <c r="AY112" s="8"/>
      <c r="AZ112" s="8"/>
      <c r="BA112" s="8"/>
      <c r="BB112" s="8"/>
    </row>
    <row r="113" spans="1:54" s="22" customFormat="1" ht="15" x14ac:dyDescent="0.25">
      <c r="A113" s="52"/>
      <c r="B113" s="53"/>
      <c r="C113" s="217" t="s">
        <v>143</v>
      </c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97">
        <f>394012.93/100*$O$34</f>
        <v>394012.93</v>
      </c>
      <c r="Q113" s="2"/>
      <c r="R113" s="2"/>
      <c r="S113" s="4"/>
      <c r="T113" s="4"/>
      <c r="U113" s="4"/>
      <c r="V113" s="4"/>
      <c r="W113" s="4"/>
      <c r="X113" s="4"/>
      <c r="Y113" s="4"/>
      <c r="Z113" s="4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43"/>
      <c r="AT113" s="3" t="s">
        <v>143</v>
      </c>
      <c r="AU113" s="8"/>
      <c r="AV113" s="8"/>
      <c r="AW113" s="8"/>
      <c r="AX113" s="8"/>
      <c r="AY113" s="8"/>
      <c r="AZ113" s="8"/>
      <c r="BA113" s="8"/>
      <c r="BB113" s="8"/>
    </row>
    <row r="114" spans="1:54" s="22" customFormat="1" ht="15" x14ac:dyDescent="0.25">
      <c r="A114" s="52"/>
      <c r="B114" s="53"/>
      <c r="C114" s="217" t="s">
        <v>144</v>
      </c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97">
        <f>P43+P49+P56+P62+P69+P79+P87+P95+P103</f>
        <v>193266.79</v>
      </c>
      <c r="Q114" s="2"/>
      <c r="R114" s="2"/>
      <c r="S114" s="4"/>
      <c r="T114" s="4"/>
      <c r="U114" s="4"/>
      <c r="V114" s="4"/>
      <c r="W114" s="4"/>
      <c r="X114" s="4"/>
      <c r="Y114" s="4"/>
      <c r="Z114" s="4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43"/>
      <c r="AT114" s="3" t="s">
        <v>144</v>
      </c>
      <c r="AU114" s="8"/>
      <c r="AV114" s="8"/>
      <c r="AW114" s="8"/>
      <c r="AX114" s="8"/>
      <c r="AY114" s="8"/>
      <c r="AZ114" s="8"/>
      <c r="BA114" s="8"/>
      <c r="BB114" s="8"/>
    </row>
    <row r="115" spans="1:54" s="22" customFormat="1" ht="15" x14ac:dyDescent="0.25">
      <c r="A115" s="52"/>
      <c r="B115" s="53"/>
      <c r="C115" s="217" t="s">
        <v>145</v>
      </c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97">
        <f t="shared" ref="P115:P116" si="0">P44+P50+P57+P63+P70+P80+P88+P96+P104</f>
        <v>187625.37440000003</v>
      </c>
      <c r="Q115" s="2"/>
      <c r="R115" s="2"/>
      <c r="S115" s="4"/>
      <c r="T115" s="4"/>
      <c r="U115" s="4"/>
      <c r="V115" s="4"/>
      <c r="W115" s="4"/>
      <c r="X115" s="4"/>
      <c r="Y115" s="4"/>
      <c r="Z115" s="4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43"/>
      <c r="AT115" s="3" t="s">
        <v>145</v>
      </c>
      <c r="AU115" s="8"/>
      <c r="AV115" s="8"/>
      <c r="AW115" s="8"/>
      <c r="AX115" s="8"/>
      <c r="AY115" s="8"/>
      <c r="AZ115" s="8"/>
      <c r="BA115" s="8"/>
      <c r="BB115" s="8"/>
    </row>
    <row r="116" spans="1:54" s="22" customFormat="1" ht="15" x14ac:dyDescent="0.25">
      <c r="A116" s="52"/>
      <c r="B116" s="53"/>
      <c r="C116" s="217" t="s">
        <v>146</v>
      </c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97">
        <f t="shared" si="0"/>
        <v>103924.56779999999</v>
      </c>
      <c r="Q116" s="2"/>
      <c r="R116" s="2"/>
      <c r="S116" s="4"/>
      <c r="T116" s="4"/>
      <c r="U116" s="4"/>
      <c r="V116" s="4"/>
      <c r="W116" s="4"/>
      <c r="X116" s="4"/>
      <c r="Y116" s="4"/>
      <c r="Z116" s="4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43"/>
      <c r="AT116" s="3" t="s">
        <v>146</v>
      </c>
      <c r="AU116" s="8"/>
      <c r="AV116" s="8"/>
      <c r="AW116" s="8"/>
      <c r="AX116" s="8"/>
      <c r="AY116" s="8"/>
      <c r="AZ116" s="8"/>
      <c r="BA116" s="8"/>
      <c r="BB116" s="8"/>
    </row>
    <row r="117" spans="1:54" s="22" customFormat="1" ht="15" x14ac:dyDescent="0.25">
      <c r="A117" s="52"/>
      <c r="B117" s="76"/>
      <c r="C117" s="221" t="s">
        <v>147</v>
      </c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  <c r="P117" s="98">
        <v>3605130.66</v>
      </c>
      <c r="Q117" s="2"/>
      <c r="R117" s="2"/>
      <c r="S117" s="4"/>
      <c r="T117" s="4"/>
      <c r="U117" s="4"/>
      <c r="V117" s="4"/>
      <c r="W117" s="4"/>
      <c r="X117" s="4"/>
      <c r="Y117" s="4"/>
      <c r="Z117" s="4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43"/>
      <c r="AT117" s="3"/>
      <c r="AU117" s="43" t="s">
        <v>147</v>
      </c>
      <c r="AV117" s="8"/>
      <c r="AW117" s="8"/>
      <c r="AX117" s="8"/>
      <c r="AY117" s="8"/>
      <c r="AZ117" s="8"/>
      <c r="BA117" s="8"/>
      <c r="BB117" s="8"/>
    </row>
    <row r="118" spans="1:54" s="22" customFormat="1" ht="15" x14ac:dyDescent="0.25">
      <c r="A118" s="52"/>
      <c r="B118" s="76"/>
      <c r="C118" s="221" t="s">
        <v>148</v>
      </c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114"/>
      <c r="Q118" s="2"/>
      <c r="R118" s="2"/>
      <c r="S118" s="4"/>
      <c r="T118" s="4"/>
      <c r="U118" s="4"/>
      <c r="V118" s="4"/>
      <c r="W118" s="4"/>
      <c r="X118" s="4"/>
      <c r="Y118" s="4"/>
      <c r="Z118" s="4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43" t="s">
        <v>148</v>
      </c>
      <c r="AW118" s="8"/>
      <c r="AX118" s="8"/>
      <c r="AY118" s="8"/>
      <c r="AZ118" s="8"/>
      <c r="BA118" s="8"/>
      <c r="BB118" s="8"/>
    </row>
    <row r="119" spans="1:54" s="22" customFormat="1" ht="15" x14ac:dyDescent="0.25">
      <c r="A119" s="52"/>
      <c r="B119" s="76"/>
      <c r="C119" s="220" t="s">
        <v>149</v>
      </c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97">
        <f>2890980/100*$O$34</f>
        <v>2890980</v>
      </c>
      <c r="Q119" s="2"/>
      <c r="R119" s="2"/>
      <c r="S119" s="4"/>
      <c r="T119" s="4"/>
      <c r="U119" s="4"/>
      <c r="V119" s="4"/>
      <c r="W119" s="4"/>
      <c r="X119" s="4"/>
      <c r="Y119" s="4"/>
      <c r="Z119" s="4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43"/>
      <c r="AW119" s="3" t="s">
        <v>149</v>
      </c>
      <c r="AX119" s="8"/>
      <c r="AY119" s="8"/>
      <c r="AZ119" s="8"/>
      <c r="BA119" s="8"/>
      <c r="BB119" s="8"/>
    </row>
    <row r="120" spans="1:54" s="22" customFormat="1" ht="15" x14ac:dyDescent="0.25">
      <c r="A120" s="52"/>
      <c r="B120" s="76"/>
      <c r="C120" s="220" t="s">
        <v>150</v>
      </c>
      <c r="D120" s="220"/>
      <c r="E120" s="220"/>
      <c r="F120" s="220"/>
      <c r="G120" s="220"/>
      <c r="H120" s="220"/>
      <c r="I120" s="220"/>
      <c r="J120" s="220"/>
      <c r="K120" s="81">
        <f>488.3664/100*$O$34</f>
        <v>488.36639999999994</v>
      </c>
      <c r="L120" s="220"/>
      <c r="M120" s="220"/>
      <c r="N120" s="220"/>
      <c r="O120" s="220"/>
      <c r="P120" s="97"/>
      <c r="Q120" s="2"/>
      <c r="R120" s="2"/>
      <c r="S120" s="4"/>
      <c r="T120" s="4"/>
      <c r="U120" s="4"/>
      <c r="V120" s="4"/>
      <c r="W120" s="4"/>
      <c r="X120" s="4"/>
      <c r="Y120" s="4"/>
      <c r="Z120" s="4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43"/>
      <c r="AW120" s="3"/>
      <c r="AX120" s="3" t="s">
        <v>150</v>
      </c>
      <c r="AY120" s="8"/>
      <c r="AZ120" s="8"/>
      <c r="BA120" s="8"/>
      <c r="BB120" s="8"/>
    </row>
    <row r="121" spans="1:54" s="22" customFormat="1" ht="15" x14ac:dyDescent="0.25">
      <c r="A121" s="52"/>
      <c r="B121" s="76"/>
      <c r="C121" s="220" t="s">
        <v>151</v>
      </c>
      <c r="D121" s="220"/>
      <c r="E121" s="220"/>
      <c r="F121" s="220"/>
      <c r="G121" s="220"/>
      <c r="H121" s="220"/>
      <c r="I121" s="220"/>
      <c r="J121" s="220"/>
      <c r="K121" s="83">
        <f>55.73736/100*$O$34</f>
        <v>55.737360000000002</v>
      </c>
      <c r="L121" s="220"/>
      <c r="M121" s="220"/>
      <c r="N121" s="220"/>
      <c r="O121" s="220"/>
      <c r="P121" s="97"/>
      <c r="Q121" s="2"/>
      <c r="R121" s="2"/>
      <c r="S121" s="4"/>
      <c r="T121" s="4"/>
      <c r="U121" s="4"/>
      <c r="V121" s="4"/>
      <c r="W121" s="4"/>
      <c r="X121" s="4"/>
      <c r="Y121" s="4"/>
      <c r="Z121" s="4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43"/>
      <c r="AW121" s="3"/>
      <c r="AX121" s="3" t="s">
        <v>151</v>
      </c>
      <c r="AY121" s="8"/>
      <c r="AZ121" s="8"/>
      <c r="BA121" s="8"/>
      <c r="BB121" s="8"/>
    </row>
    <row r="122" spans="1:54" s="22" customFormat="1" ht="11.25" hidden="1" customHeight="1" x14ac:dyDescent="0.2">
      <c r="A122" s="5"/>
      <c r="B122" s="74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84"/>
      <c r="O122" s="85"/>
      <c r="P122" s="99"/>
      <c r="Q122" s="2"/>
      <c r="R122" s="2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</row>
    <row r="123" spans="1:54" s="4" customFormat="1" ht="26.25" customHeight="1" x14ac:dyDescent="0.25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115"/>
    </row>
    <row r="124" spans="1:54" s="22" customFormat="1" ht="15" x14ac:dyDescent="0.25">
      <c r="A124" s="7"/>
      <c r="B124" s="88" t="s">
        <v>152</v>
      </c>
      <c r="C124" s="218"/>
      <c r="D124" s="218"/>
      <c r="E124" s="218"/>
      <c r="F124" s="218"/>
      <c r="G124" s="218"/>
      <c r="H124" s="218"/>
      <c r="I124" s="219"/>
      <c r="J124" s="219"/>
      <c r="K124" s="219"/>
      <c r="L124" s="219"/>
      <c r="M124" s="219"/>
      <c r="N124" s="219"/>
      <c r="O124" s="4"/>
      <c r="P124" s="108"/>
      <c r="Q124" s="2"/>
      <c r="R124" s="2"/>
      <c r="S124" s="4"/>
      <c r="T124" s="4"/>
      <c r="U124" s="4"/>
      <c r="V124" s="4"/>
      <c r="W124" s="4"/>
      <c r="X124" s="4"/>
      <c r="Y124" s="4"/>
      <c r="Z124" s="4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 t="s">
        <v>9</v>
      </c>
      <c r="AZ124" s="8" t="s">
        <v>9</v>
      </c>
      <c r="BA124" s="8"/>
      <c r="BB124" s="8"/>
    </row>
    <row r="125" spans="1:54" s="89" customFormat="1" ht="16.5" customHeight="1" x14ac:dyDescent="0.25">
      <c r="A125" s="12"/>
      <c r="B125" s="88"/>
      <c r="C125" s="214" t="s">
        <v>153</v>
      </c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P125" s="116"/>
      <c r="Q125" s="90"/>
      <c r="R125" s="90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</row>
    <row r="126" spans="1:54" s="22" customFormat="1" ht="15" x14ac:dyDescent="0.25">
      <c r="A126" s="7"/>
      <c r="B126" s="88" t="s">
        <v>154</v>
      </c>
      <c r="C126" s="218"/>
      <c r="D126" s="218"/>
      <c r="E126" s="218"/>
      <c r="F126" s="218"/>
      <c r="G126" s="218"/>
      <c r="H126" s="218"/>
      <c r="I126" s="219"/>
      <c r="J126" s="219"/>
      <c r="K126" s="219"/>
      <c r="L126" s="219"/>
      <c r="M126" s="219"/>
      <c r="N126" s="219"/>
      <c r="O126" s="4"/>
      <c r="P126" s="108"/>
      <c r="Q126" s="2"/>
      <c r="R126" s="2"/>
      <c r="S126" s="4"/>
      <c r="T126" s="4"/>
      <c r="U126" s="4"/>
      <c r="V126" s="4"/>
      <c r="W126" s="4"/>
      <c r="X126" s="4"/>
      <c r="Y126" s="4"/>
      <c r="Z126" s="4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 t="s">
        <v>9</v>
      </c>
      <c r="BB126" s="8" t="s">
        <v>9</v>
      </c>
    </row>
    <row r="127" spans="1:54" s="89" customFormat="1" ht="16.5" customHeight="1" x14ac:dyDescent="0.25">
      <c r="A127" s="12"/>
      <c r="C127" s="214" t="s">
        <v>153</v>
      </c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P127" s="116"/>
      <c r="Q127" s="90"/>
      <c r="R127" s="90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</row>
    <row r="128" spans="1:54" s="4" customFormat="1" ht="12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117"/>
    </row>
    <row r="129" spans="1:16" s="4" customFormat="1" ht="26.25" customHeight="1" x14ac:dyDescent="0.25">
      <c r="A129" s="215" t="s">
        <v>155</v>
      </c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</row>
    <row r="130" spans="1:16" s="4" customFormat="1" ht="17.25" customHeight="1" x14ac:dyDescent="0.25">
      <c r="A130" s="217" t="s">
        <v>156</v>
      </c>
      <c r="B130" s="217"/>
      <c r="C130" s="217"/>
      <c r="D130" s="217"/>
      <c r="E130" s="217"/>
      <c r="F130" s="217"/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</row>
    <row r="131" spans="1:16" s="4" customFormat="1" ht="17.25" customHeight="1" x14ac:dyDescent="0.25">
      <c r="A131" s="217" t="s">
        <v>157</v>
      </c>
      <c r="B131" s="217"/>
      <c r="C131" s="217"/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</row>
    <row r="132" spans="1:16" s="4" customFormat="1" ht="13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17"/>
    </row>
    <row r="133" spans="1:16" s="4" customFormat="1" ht="15" x14ac:dyDescent="0.25">
      <c r="A133" s="5"/>
      <c r="P133" s="108"/>
    </row>
    <row r="134" spans="1:16" s="4" customFormat="1" ht="15" x14ac:dyDescent="0.25">
      <c r="A134" s="5"/>
      <c r="P134" s="108"/>
    </row>
    <row r="135" spans="1:16" s="4" customFormat="1" ht="15" x14ac:dyDescent="0.25">
      <c r="A135" s="5"/>
      <c r="P135" s="108"/>
    </row>
    <row r="136" spans="1:16" s="4" customFormat="1" ht="15" x14ac:dyDescent="0.25">
      <c r="A136" s="5"/>
      <c r="P136" s="108"/>
    </row>
    <row r="137" spans="1:16" s="4" customFormat="1" ht="15" x14ac:dyDescent="0.25">
      <c r="A137" s="5"/>
      <c r="P137" s="108"/>
    </row>
    <row r="138" spans="1:16" s="4" customFormat="1" ht="15" x14ac:dyDescent="0.25">
      <c r="A138" s="5"/>
      <c r="P138" s="108"/>
    </row>
    <row r="139" spans="1:16" s="4" customFormat="1" ht="15" x14ac:dyDescent="0.25">
      <c r="A139" s="5"/>
      <c r="P139" s="108"/>
    </row>
    <row r="140" spans="1:16" s="4" customFormat="1" ht="15" x14ac:dyDescent="0.25">
      <c r="A140" s="5"/>
      <c r="P140" s="108"/>
    </row>
    <row r="141" spans="1:16" s="4" customFormat="1" ht="15" x14ac:dyDescent="0.25">
      <c r="A141" s="5"/>
      <c r="P141" s="108"/>
    </row>
    <row r="142" spans="1:16" s="4" customFormat="1" ht="15" x14ac:dyDescent="0.25">
      <c r="A142" s="5"/>
      <c r="P142" s="108"/>
    </row>
    <row r="143" spans="1:16" s="4" customFormat="1" ht="15" x14ac:dyDescent="0.25">
      <c r="A143" s="5"/>
      <c r="P143" s="108"/>
    </row>
    <row r="144" spans="1:16" s="4" customFormat="1" ht="15" x14ac:dyDescent="0.25">
      <c r="A144" s="5"/>
      <c r="P144" s="108"/>
    </row>
    <row r="145" spans="1:16" s="4" customFormat="1" ht="15" x14ac:dyDescent="0.25">
      <c r="A145" s="5"/>
      <c r="P145" s="108"/>
    </row>
    <row r="146" spans="1:16" s="4" customFormat="1" ht="15" x14ac:dyDescent="0.25">
      <c r="A146" s="5"/>
      <c r="P146" s="108"/>
    </row>
    <row r="147" spans="1:16" s="4" customFormat="1" ht="15" x14ac:dyDescent="0.25">
      <c r="A147" s="5"/>
      <c r="P147" s="108"/>
    </row>
    <row r="148" spans="1:16" s="4" customFormat="1" ht="15" x14ac:dyDescent="0.25">
      <c r="A148" s="5"/>
      <c r="P148" s="108"/>
    </row>
    <row r="149" spans="1:16" s="4" customFormat="1" ht="15" x14ac:dyDescent="0.25">
      <c r="A149" s="5"/>
      <c r="P149" s="108"/>
    </row>
    <row r="150" spans="1:16" s="4" customFormat="1" ht="15" x14ac:dyDescent="0.25">
      <c r="A150" s="5"/>
      <c r="P150" s="108"/>
    </row>
    <row r="151" spans="1:16" s="4" customFormat="1" ht="15" x14ac:dyDescent="0.25">
      <c r="A151" s="5"/>
      <c r="P151" s="108"/>
    </row>
    <row r="152" spans="1:16" s="4" customFormat="1" ht="15" x14ac:dyDescent="0.25">
      <c r="A152" s="5"/>
      <c r="P152" s="108"/>
    </row>
    <row r="153" spans="1:16" s="4" customFormat="1" ht="15" x14ac:dyDescent="0.25">
      <c r="A153" s="5"/>
      <c r="P153" s="108"/>
    </row>
    <row r="154" spans="1:16" s="4" customFormat="1" ht="15" x14ac:dyDescent="0.25">
      <c r="A154" s="5"/>
      <c r="P154" s="108"/>
    </row>
    <row r="155" spans="1:16" s="4" customFormat="1" ht="15" x14ac:dyDescent="0.25">
      <c r="A155" s="5"/>
      <c r="P155" s="108"/>
    </row>
    <row r="156" spans="1:16" s="4" customFormat="1" ht="15" x14ac:dyDescent="0.25">
      <c r="A156" s="5"/>
      <c r="P156" s="108"/>
    </row>
    <row r="157" spans="1:16" s="4" customFormat="1" ht="15" x14ac:dyDescent="0.25">
      <c r="A157" s="5"/>
      <c r="P157" s="108"/>
    </row>
    <row r="158" spans="1:16" s="4" customFormat="1" ht="15" x14ac:dyDescent="0.25">
      <c r="A158" s="5"/>
      <c r="P158" s="108"/>
    </row>
    <row r="159" spans="1:16" s="4" customFormat="1" ht="15" x14ac:dyDescent="0.25">
      <c r="A159" s="5"/>
      <c r="P159" s="108"/>
    </row>
    <row r="160" spans="1:16" s="4" customFormat="1" ht="15" x14ac:dyDescent="0.25">
      <c r="A160" s="5"/>
      <c r="P160" s="108"/>
    </row>
    <row r="161" spans="1:16" s="4" customFormat="1" ht="15" x14ac:dyDescent="0.25">
      <c r="A161" s="5"/>
      <c r="P161" s="108"/>
    </row>
    <row r="162" spans="1:16" s="4" customFormat="1" ht="15" x14ac:dyDescent="0.25">
      <c r="A162" s="5"/>
      <c r="P162" s="108"/>
    </row>
    <row r="163" spans="1:16" s="4" customFormat="1" ht="15" x14ac:dyDescent="0.25">
      <c r="A163" s="5"/>
      <c r="P163" s="108"/>
    </row>
    <row r="164" spans="1:16" s="4" customFormat="1" ht="15" x14ac:dyDescent="0.25">
      <c r="A164" s="5"/>
      <c r="P164" s="108"/>
    </row>
    <row r="165" spans="1:16" s="4" customFormat="1" ht="15" x14ac:dyDescent="0.25">
      <c r="A165" s="5"/>
      <c r="P165" s="108"/>
    </row>
    <row r="166" spans="1:16" s="4" customFormat="1" ht="15" x14ac:dyDescent="0.25">
      <c r="A166" s="5"/>
      <c r="P166" s="108"/>
    </row>
    <row r="167" spans="1:16" s="4" customFormat="1" ht="15" x14ac:dyDescent="0.25">
      <c r="A167" s="5"/>
      <c r="P167" s="108"/>
    </row>
  </sheetData>
  <mergeCells count="126">
    <mergeCell ref="A7:F7"/>
    <mergeCell ref="G7:P7"/>
    <mergeCell ref="A8:F8"/>
    <mergeCell ref="G8:P8"/>
    <mergeCell ref="A9:F9"/>
    <mergeCell ref="G9:P9"/>
    <mergeCell ref="A4:F4"/>
    <mergeCell ref="G4:P4"/>
    <mergeCell ref="A5:F5"/>
    <mergeCell ref="G5:P5"/>
    <mergeCell ref="A6:F6"/>
    <mergeCell ref="G6:P6"/>
    <mergeCell ref="A14:P14"/>
    <mergeCell ref="A16:P16"/>
    <mergeCell ref="A17:P17"/>
    <mergeCell ref="A18:P18"/>
    <mergeCell ref="A20:P20"/>
    <mergeCell ref="A10:F10"/>
    <mergeCell ref="G10:P10"/>
    <mergeCell ref="A11:F11"/>
    <mergeCell ref="G11:P11"/>
    <mergeCell ref="A13:P13"/>
    <mergeCell ref="C38:G38"/>
    <mergeCell ref="A39:P39"/>
    <mergeCell ref="A40:P40"/>
    <mergeCell ref="C41:G41"/>
    <mergeCell ref="C42:G42"/>
    <mergeCell ref="A21:P21"/>
    <mergeCell ref="B23:F23"/>
    <mergeCell ref="B24:F24"/>
    <mergeCell ref="C26:F26"/>
    <mergeCell ref="A35:A37"/>
    <mergeCell ref="B35:B37"/>
    <mergeCell ref="C35:G37"/>
    <mergeCell ref="H35:H37"/>
    <mergeCell ref="I35:K36"/>
    <mergeCell ref="L35:P36"/>
    <mergeCell ref="C48:G48"/>
    <mergeCell ref="C49:G49"/>
    <mergeCell ref="C50:G50"/>
    <mergeCell ref="C51:G51"/>
    <mergeCell ref="C52:G52"/>
    <mergeCell ref="C43:G43"/>
    <mergeCell ref="C44:G44"/>
    <mergeCell ref="C45:G45"/>
    <mergeCell ref="C46:G46"/>
    <mergeCell ref="C47:G47"/>
    <mergeCell ref="C58:G58"/>
    <mergeCell ref="C59:G59"/>
    <mergeCell ref="C60:G60"/>
    <mergeCell ref="C61:G61"/>
    <mergeCell ref="C62:G62"/>
    <mergeCell ref="A53:P53"/>
    <mergeCell ref="C54:G54"/>
    <mergeCell ref="C55:G55"/>
    <mergeCell ref="C56:G56"/>
    <mergeCell ref="C57:G57"/>
    <mergeCell ref="C68:G68"/>
    <mergeCell ref="C69:G69"/>
    <mergeCell ref="C70:G70"/>
    <mergeCell ref="C71:G71"/>
    <mergeCell ref="C72:G72"/>
    <mergeCell ref="C63:G63"/>
    <mergeCell ref="C64:G64"/>
    <mergeCell ref="C65:G65"/>
    <mergeCell ref="A66:P66"/>
    <mergeCell ref="C67:G67"/>
    <mergeCell ref="C78:G78"/>
    <mergeCell ref="C79:G79"/>
    <mergeCell ref="C80:G80"/>
    <mergeCell ref="C81:G81"/>
    <mergeCell ref="C82:G82"/>
    <mergeCell ref="C73:G73"/>
    <mergeCell ref="C74:G74"/>
    <mergeCell ref="C75:G75"/>
    <mergeCell ref="C76:G76"/>
    <mergeCell ref="C77:G77"/>
    <mergeCell ref="C88:G88"/>
    <mergeCell ref="C89:G89"/>
    <mergeCell ref="C90:G90"/>
    <mergeCell ref="C91:G91"/>
    <mergeCell ref="C92:G92"/>
    <mergeCell ref="C83:G83"/>
    <mergeCell ref="C84:G84"/>
    <mergeCell ref="C85:G85"/>
    <mergeCell ref="C86:G86"/>
    <mergeCell ref="C87:G87"/>
    <mergeCell ref="C98:G98"/>
    <mergeCell ref="C99:G99"/>
    <mergeCell ref="C100:G100"/>
    <mergeCell ref="C101:G101"/>
    <mergeCell ref="C102:G102"/>
    <mergeCell ref="C93:G93"/>
    <mergeCell ref="C94:G94"/>
    <mergeCell ref="C95:G95"/>
    <mergeCell ref="C96:G96"/>
    <mergeCell ref="C97:G97"/>
    <mergeCell ref="C108:G108"/>
    <mergeCell ref="C110:O110"/>
    <mergeCell ref="C111:O111"/>
    <mergeCell ref="C112:O112"/>
    <mergeCell ref="C113:O113"/>
    <mergeCell ref="C103:G103"/>
    <mergeCell ref="C104:G104"/>
    <mergeCell ref="C105:G105"/>
    <mergeCell ref="C106:G106"/>
    <mergeCell ref="C107:G107"/>
    <mergeCell ref="C119:O119"/>
    <mergeCell ref="C120:J120"/>
    <mergeCell ref="L120:O120"/>
    <mergeCell ref="C121:J121"/>
    <mergeCell ref="L121:O121"/>
    <mergeCell ref="C114:O114"/>
    <mergeCell ref="C115:O115"/>
    <mergeCell ref="C116:O116"/>
    <mergeCell ref="C117:O117"/>
    <mergeCell ref="C118:O118"/>
    <mergeCell ref="C127:N127"/>
    <mergeCell ref="A129:P129"/>
    <mergeCell ref="A130:P130"/>
    <mergeCell ref="A131:P131"/>
    <mergeCell ref="C124:H124"/>
    <mergeCell ref="I124:N124"/>
    <mergeCell ref="C125:N125"/>
    <mergeCell ref="C126:H126"/>
    <mergeCell ref="I126:N126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9" fitToHeight="0" orientation="landscape" r:id="rId1"/>
  <headerFooter>
    <oddFooter>&amp;RСтраница &amp;P</oddFooter>
  </headerFooter>
  <rowBreaks count="1" manualBreakCount="1">
    <brk id="34" max="16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87"/>
  <sheetViews>
    <sheetView topLeftCell="A70" workbookViewId="0">
      <selection activeCell="P82" sqref="P82:P84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" customWidth="1"/>
    <col min="17" max="17" width="75.28515625" style="2" hidden="1" customWidth="1"/>
    <col min="18" max="18" width="126.5703125" style="2" hidden="1" customWidth="1"/>
    <col min="19" max="26" width="9.140625" style="1"/>
    <col min="27" max="33" width="127.28515625" style="3" hidden="1" customWidth="1"/>
    <col min="34" max="36" width="203.42578125" style="3" hidden="1" customWidth="1"/>
    <col min="37" max="37" width="66.42578125" style="3" hidden="1" customWidth="1"/>
    <col min="38" max="38" width="45.7109375" style="3" hidden="1" customWidth="1"/>
    <col min="39" max="40" width="203.42578125" style="3" hidden="1" customWidth="1"/>
    <col min="41" max="44" width="51.85546875" style="3" hidden="1" customWidth="1"/>
    <col min="45" max="48" width="156" style="3" hidden="1" customWidth="1"/>
    <col min="49" max="49" width="84.28515625" style="3" hidden="1" customWidth="1"/>
    <col min="50" max="50" width="61.140625" style="3" hidden="1" customWidth="1"/>
    <col min="51" max="51" width="82" style="3" hidden="1" customWidth="1"/>
    <col min="52" max="52" width="61.140625" style="3" hidden="1" customWidth="1"/>
    <col min="53" max="53" width="82" style="3" hidden="1" customWidth="1"/>
    <col min="54" max="16384" width="9.140625" style="1"/>
  </cols>
  <sheetData>
    <row r="1" spans="1:35" s="4" customFormat="1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 t="s">
        <v>0</v>
      </c>
    </row>
    <row r="2" spans="1:35" s="4" customFormat="1" ht="1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6" t="s">
        <v>1</v>
      </c>
    </row>
    <row r="3" spans="1:35" s="4" customFormat="1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6"/>
    </row>
    <row r="4" spans="1:35" s="4" customFormat="1" ht="12.75" customHeight="1" x14ac:dyDescent="0.25">
      <c r="A4" s="223" t="s">
        <v>2</v>
      </c>
      <c r="B4" s="223"/>
      <c r="C4" s="223"/>
      <c r="D4" s="223"/>
      <c r="E4" s="223"/>
      <c r="F4" s="223"/>
      <c r="G4" s="250" t="s">
        <v>3</v>
      </c>
      <c r="H4" s="250"/>
      <c r="I4" s="250"/>
      <c r="J4" s="250"/>
      <c r="K4" s="250"/>
      <c r="L4" s="250"/>
      <c r="M4" s="250"/>
      <c r="N4" s="250"/>
      <c r="O4" s="250"/>
      <c r="P4" s="250"/>
    </row>
    <row r="5" spans="1:35" s="4" customFormat="1" ht="22.5" customHeight="1" x14ac:dyDescent="0.25">
      <c r="A5" s="223" t="s">
        <v>4</v>
      </c>
      <c r="B5" s="223"/>
      <c r="C5" s="223"/>
      <c r="D5" s="223"/>
      <c r="E5" s="223"/>
      <c r="F5" s="223"/>
      <c r="G5" s="248" t="s">
        <v>5</v>
      </c>
      <c r="H5" s="248"/>
      <c r="I5" s="248"/>
      <c r="J5" s="248"/>
      <c r="K5" s="248"/>
      <c r="L5" s="248"/>
      <c r="M5" s="248"/>
      <c r="N5" s="248"/>
      <c r="O5" s="248"/>
      <c r="P5" s="248"/>
      <c r="AA5" s="8" t="s">
        <v>5</v>
      </c>
    </row>
    <row r="6" spans="1:35" s="4" customFormat="1" ht="45" customHeight="1" x14ac:dyDescent="0.25">
      <c r="A6" s="223" t="s">
        <v>6</v>
      </c>
      <c r="B6" s="223"/>
      <c r="C6" s="223"/>
      <c r="D6" s="223"/>
      <c r="E6" s="223"/>
      <c r="F6" s="223"/>
      <c r="G6" s="248" t="s">
        <v>7</v>
      </c>
      <c r="H6" s="248"/>
      <c r="I6" s="248"/>
      <c r="J6" s="248"/>
      <c r="K6" s="248"/>
      <c r="L6" s="248"/>
      <c r="M6" s="248"/>
      <c r="N6" s="248"/>
      <c r="O6" s="248"/>
      <c r="P6" s="248"/>
      <c r="AB6" s="8" t="s">
        <v>7</v>
      </c>
    </row>
    <row r="7" spans="1:35" s="4" customFormat="1" ht="67.5" customHeight="1" x14ac:dyDescent="0.25">
      <c r="A7" s="249" t="s">
        <v>8</v>
      </c>
      <c r="B7" s="249"/>
      <c r="C7" s="249"/>
      <c r="D7" s="249"/>
      <c r="E7" s="249"/>
      <c r="F7" s="249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9" t="s">
        <v>8</v>
      </c>
      <c r="R7" s="10"/>
      <c r="S7" s="8"/>
      <c r="T7" s="8"/>
      <c r="U7" s="8"/>
      <c r="V7" s="8"/>
      <c r="W7" s="8"/>
      <c r="X7" s="8"/>
      <c r="Y7" s="8"/>
      <c r="Z7" s="8"/>
      <c r="AC7" s="8" t="s">
        <v>9</v>
      </c>
    </row>
    <row r="8" spans="1:35" s="4" customFormat="1" ht="33.75" customHeight="1" x14ac:dyDescent="0.25">
      <c r="A8" s="223" t="s">
        <v>10</v>
      </c>
      <c r="B8" s="223"/>
      <c r="C8" s="223"/>
      <c r="D8" s="223"/>
      <c r="E8" s="223"/>
      <c r="F8" s="223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9" t="s">
        <v>10</v>
      </c>
      <c r="R8" s="10"/>
      <c r="S8" s="8"/>
      <c r="T8" s="8"/>
      <c r="U8" s="8"/>
      <c r="V8" s="8"/>
      <c r="W8" s="8"/>
      <c r="X8" s="8"/>
      <c r="Y8" s="8"/>
      <c r="Z8" s="8"/>
      <c r="AD8" s="8" t="s">
        <v>9</v>
      </c>
    </row>
    <row r="9" spans="1:35" s="4" customFormat="1" ht="11.25" customHeight="1" x14ac:dyDescent="0.25">
      <c r="A9" s="223" t="s">
        <v>11</v>
      </c>
      <c r="B9" s="223"/>
      <c r="C9" s="223"/>
      <c r="D9" s="223"/>
      <c r="E9" s="223"/>
      <c r="F9" s="223"/>
      <c r="G9" s="248"/>
      <c r="H9" s="248"/>
      <c r="I9" s="248"/>
      <c r="J9" s="248"/>
      <c r="K9" s="248"/>
      <c r="L9" s="248"/>
      <c r="M9" s="248"/>
      <c r="N9" s="248"/>
      <c r="O9" s="248"/>
      <c r="P9" s="248"/>
      <c r="AE9" s="8" t="s">
        <v>9</v>
      </c>
    </row>
    <row r="10" spans="1:35" s="4" customFormat="1" ht="11.25" customHeight="1" x14ac:dyDescent="0.25">
      <c r="A10" s="223" t="s">
        <v>12</v>
      </c>
      <c r="B10" s="223"/>
      <c r="C10" s="223"/>
      <c r="D10" s="223"/>
      <c r="E10" s="223"/>
      <c r="F10" s="223"/>
      <c r="G10" s="248" t="s">
        <v>13</v>
      </c>
      <c r="H10" s="248"/>
      <c r="I10" s="248"/>
      <c r="J10" s="248"/>
      <c r="K10" s="248"/>
      <c r="L10" s="248"/>
      <c r="M10" s="248"/>
      <c r="N10" s="248"/>
      <c r="O10" s="248"/>
      <c r="P10" s="248"/>
      <c r="R10" s="2" t="s">
        <v>13</v>
      </c>
      <c r="AF10" s="8" t="s">
        <v>13</v>
      </c>
    </row>
    <row r="11" spans="1:35" s="4" customFormat="1" ht="15" x14ac:dyDescent="0.25">
      <c r="A11" s="223" t="s">
        <v>14</v>
      </c>
      <c r="B11" s="223"/>
      <c r="C11" s="223"/>
      <c r="D11" s="223"/>
      <c r="E11" s="223"/>
      <c r="F11" s="223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AG11" s="8" t="s">
        <v>9</v>
      </c>
    </row>
    <row r="12" spans="1:35" s="4" customFormat="1" ht="6" customHeight="1" x14ac:dyDescent="0.25">
      <c r="A12" s="11"/>
      <c r="B12" s="7"/>
      <c r="C12" s="7"/>
      <c r="D12" s="7"/>
      <c r="E12" s="7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35" s="4" customFormat="1" ht="15" x14ac:dyDescent="0.25">
      <c r="A13" s="246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AH13" s="8" t="s">
        <v>9</v>
      </c>
    </row>
    <row r="14" spans="1:35" s="4" customFormat="1" ht="15" customHeight="1" x14ac:dyDescent="0.25">
      <c r="A14" s="231" t="s">
        <v>15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</row>
    <row r="15" spans="1:35" s="4" customFormat="1" ht="6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35" s="4" customFormat="1" ht="15" x14ac:dyDescent="0.25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AI16" s="8" t="s">
        <v>9</v>
      </c>
    </row>
    <row r="17" spans="1:38" s="4" customFormat="1" ht="15" x14ac:dyDescent="0.25">
      <c r="A17" s="231" t="s">
        <v>16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</row>
    <row r="18" spans="1:38" s="4" customFormat="1" ht="17.25" customHeight="1" x14ac:dyDescent="0.25">
      <c r="A18" s="247" t="s">
        <v>17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38" s="4" customFormat="1" ht="8.2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38" s="4" customFormat="1" ht="15" x14ac:dyDescent="0.25">
      <c r="A20" s="246" t="s">
        <v>158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AJ20" s="8" t="s">
        <v>158</v>
      </c>
    </row>
    <row r="21" spans="1:38" s="4" customFormat="1" ht="11.25" customHeight="1" x14ac:dyDescent="0.25">
      <c r="A21" s="231" t="s">
        <v>19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</row>
    <row r="22" spans="1:38" s="4" customFormat="1" ht="12" customHeight="1" x14ac:dyDescent="0.25">
      <c r="A22" s="7" t="s">
        <v>20</v>
      </c>
      <c r="B22" s="16" t="s">
        <v>21</v>
      </c>
      <c r="C22" s="5" t="s">
        <v>22</v>
      </c>
      <c r="D22" s="5"/>
      <c r="E22" s="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38" s="4" customFormat="1" ht="15" x14ac:dyDescent="0.25">
      <c r="A23" s="7" t="s">
        <v>23</v>
      </c>
      <c r="B23" s="232"/>
      <c r="C23" s="232"/>
      <c r="D23" s="232"/>
      <c r="E23" s="232"/>
      <c r="F23" s="232"/>
      <c r="G23" s="17"/>
      <c r="H23" s="17"/>
      <c r="I23" s="17"/>
      <c r="J23" s="17"/>
      <c r="K23" s="17"/>
      <c r="L23" s="17"/>
      <c r="M23" s="17"/>
      <c r="N23" s="17"/>
      <c r="O23" s="17"/>
      <c r="P23" s="17"/>
      <c r="AK23" s="8" t="s">
        <v>9</v>
      </c>
    </row>
    <row r="24" spans="1:38" s="4" customFormat="1" ht="10.5" customHeight="1" x14ac:dyDescent="0.25">
      <c r="A24" s="7"/>
      <c r="B24" s="233" t="s">
        <v>24</v>
      </c>
      <c r="C24" s="233"/>
      <c r="D24" s="233"/>
      <c r="E24" s="233"/>
      <c r="F24" s="233"/>
      <c r="G24" s="18"/>
      <c r="H24" s="18"/>
      <c r="I24" s="18"/>
      <c r="J24" s="18"/>
      <c r="K24" s="18"/>
      <c r="L24" s="18"/>
      <c r="M24" s="18"/>
      <c r="N24" s="18"/>
      <c r="O24" s="19"/>
      <c r="P24" s="18"/>
    </row>
    <row r="25" spans="1:38" s="4" customFormat="1" ht="9.75" customHeight="1" x14ac:dyDescent="0.25">
      <c r="A25" s="7"/>
      <c r="B25" s="7"/>
      <c r="C25" s="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8"/>
      <c r="P25" s="18"/>
    </row>
    <row r="26" spans="1:38" s="4" customFormat="1" ht="15" x14ac:dyDescent="0.25">
      <c r="A26" s="21" t="s">
        <v>25</v>
      </c>
      <c r="B26" s="22"/>
      <c r="C26" s="234"/>
      <c r="D26" s="234"/>
      <c r="E26" s="234"/>
      <c r="F26" s="234"/>
      <c r="G26" s="8"/>
      <c r="H26" s="8"/>
      <c r="I26" s="8"/>
      <c r="J26" s="8"/>
      <c r="K26" s="8"/>
      <c r="L26" s="8"/>
      <c r="M26" s="8"/>
      <c r="N26" s="8"/>
      <c r="O26" s="8"/>
      <c r="P26" s="8"/>
      <c r="AL26" s="8" t="s">
        <v>9</v>
      </c>
    </row>
    <row r="27" spans="1:38" s="4" customFormat="1" ht="9.75" customHeight="1" x14ac:dyDescent="0.25">
      <c r="A27" s="7"/>
      <c r="B27" s="22"/>
      <c r="C27" s="23"/>
      <c r="D27" s="24"/>
      <c r="E27" s="24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38" s="4" customFormat="1" ht="12" customHeight="1" x14ac:dyDescent="0.25">
      <c r="A28" s="21" t="s">
        <v>26</v>
      </c>
      <c r="B28" s="22"/>
      <c r="C28" s="26"/>
      <c r="D28" s="27">
        <v>5266.9</v>
      </c>
      <c r="E28" s="28" t="s">
        <v>27</v>
      </c>
      <c r="G28" s="22"/>
      <c r="H28" s="22"/>
      <c r="I28" s="22"/>
      <c r="J28" s="22"/>
      <c r="K28" s="22"/>
      <c r="L28" s="22"/>
      <c r="M28" s="22"/>
      <c r="N28" s="29"/>
      <c r="O28" s="29"/>
      <c r="P28" s="22"/>
    </row>
    <row r="29" spans="1:38" s="4" customFormat="1" ht="12" customHeight="1" x14ac:dyDescent="0.25">
      <c r="A29" s="7"/>
      <c r="B29" s="30" t="s">
        <v>28</v>
      </c>
      <c r="C29" s="31"/>
      <c r="D29" s="32"/>
      <c r="E29" s="28"/>
      <c r="G29" s="22"/>
    </row>
    <row r="30" spans="1:38" s="4" customFormat="1" ht="12" customHeight="1" x14ac:dyDescent="0.25">
      <c r="A30" s="7"/>
      <c r="B30" s="33" t="s">
        <v>29</v>
      </c>
      <c r="C30" s="26"/>
      <c r="D30" s="27">
        <v>5266.9</v>
      </c>
      <c r="E30" s="28" t="s">
        <v>27</v>
      </c>
      <c r="I30" s="22"/>
      <c r="K30" s="22" t="s">
        <v>30</v>
      </c>
      <c r="L30" s="22"/>
      <c r="M30" s="22"/>
      <c r="N30" s="34"/>
      <c r="O30" s="27">
        <v>425.99</v>
      </c>
      <c r="P30" s="28" t="s">
        <v>27</v>
      </c>
    </row>
    <row r="31" spans="1:38" s="4" customFormat="1" ht="12" customHeight="1" x14ac:dyDescent="0.25">
      <c r="A31" s="7"/>
      <c r="B31" s="33" t="s">
        <v>31</v>
      </c>
      <c r="C31" s="35"/>
      <c r="D31" s="36">
        <v>0</v>
      </c>
      <c r="E31" s="28" t="s">
        <v>27</v>
      </c>
      <c r="I31" s="22"/>
      <c r="K31" s="22" t="s">
        <v>32</v>
      </c>
      <c r="L31" s="22"/>
      <c r="M31" s="22"/>
      <c r="N31" s="34"/>
      <c r="O31" s="27">
        <v>0</v>
      </c>
      <c r="P31" s="28" t="s">
        <v>27</v>
      </c>
    </row>
    <row r="32" spans="1:38" s="4" customFormat="1" ht="12" customHeight="1" x14ac:dyDescent="0.25">
      <c r="A32" s="7"/>
      <c r="B32" s="33" t="s">
        <v>33</v>
      </c>
      <c r="C32" s="35"/>
      <c r="D32" s="36">
        <v>0</v>
      </c>
      <c r="E32" s="28" t="s">
        <v>27</v>
      </c>
      <c r="I32" s="22"/>
      <c r="K32" s="22" t="s">
        <v>34</v>
      </c>
      <c r="L32" s="22"/>
      <c r="M32" s="22"/>
      <c r="N32" s="37"/>
      <c r="O32" s="36">
        <v>1115.1600000000001</v>
      </c>
      <c r="P32" s="38" t="s">
        <v>35</v>
      </c>
    </row>
    <row r="33" spans="1:53" s="4" customFormat="1" ht="12" customHeight="1" x14ac:dyDescent="0.25">
      <c r="A33" s="7"/>
      <c r="B33" s="33" t="s">
        <v>36</v>
      </c>
      <c r="C33" s="35"/>
      <c r="D33" s="27">
        <v>0</v>
      </c>
      <c r="E33" s="28" t="s">
        <v>27</v>
      </c>
      <c r="I33" s="22"/>
      <c r="K33" s="22" t="s">
        <v>37</v>
      </c>
      <c r="L33" s="22"/>
      <c r="M33" s="22"/>
      <c r="N33" s="37"/>
      <c r="O33" s="36">
        <v>97.68</v>
      </c>
      <c r="P33" s="38" t="s">
        <v>35</v>
      </c>
    </row>
    <row r="34" spans="1:53" s="4" customFormat="1" ht="15" x14ac:dyDescent="0.25">
      <c r="A34" s="7"/>
      <c r="B34" s="22"/>
      <c r="D34" s="39"/>
      <c r="E34" s="28"/>
      <c r="H34" s="22"/>
      <c r="I34" s="22"/>
      <c r="J34" s="22"/>
      <c r="K34" s="22"/>
      <c r="L34" s="22"/>
      <c r="M34" s="22"/>
      <c r="N34" s="119" t="s">
        <v>243</v>
      </c>
      <c r="O34" s="100">
        <v>100</v>
      </c>
      <c r="P34" s="111" t="s">
        <v>244</v>
      </c>
    </row>
    <row r="35" spans="1:53" s="4" customFormat="1" ht="11.25" customHeight="1" x14ac:dyDescent="0.25">
      <c r="A35" s="235" t="s">
        <v>38</v>
      </c>
      <c r="B35" s="236" t="s">
        <v>39</v>
      </c>
      <c r="C35" s="237" t="s">
        <v>40</v>
      </c>
      <c r="D35" s="238"/>
      <c r="E35" s="238"/>
      <c r="F35" s="238"/>
      <c r="G35" s="239"/>
      <c r="H35" s="236" t="s">
        <v>41</v>
      </c>
      <c r="I35" s="236" t="s">
        <v>42</v>
      </c>
      <c r="J35" s="236"/>
      <c r="K35" s="236"/>
      <c r="L35" s="237" t="s">
        <v>43</v>
      </c>
      <c r="M35" s="238"/>
      <c r="N35" s="238"/>
      <c r="O35" s="238"/>
      <c r="P35" s="239"/>
    </row>
    <row r="36" spans="1:53" s="4" customFormat="1" ht="11.25" customHeight="1" x14ac:dyDescent="0.25">
      <c r="A36" s="235"/>
      <c r="B36" s="236"/>
      <c r="C36" s="240"/>
      <c r="D36" s="241"/>
      <c r="E36" s="241"/>
      <c r="F36" s="241"/>
      <c r="G36" s="242"/>
      <c r="H36" s="236"/>
      <c r="I36" s="236"/>
      <c r="J36" s="236"/>
      <c r="K36" s="236"/>
      <c r="L36" s="243"/>
      <c r="M36" s="244"/>
      <c r="N36" s="244"/>
      <c r="O36" s="244"/>
      <c r="P36" s="245"/>
    </row>
    <row r="37" spans="1:53" s="4" customFormat="1" ht="54" customHeight="1" x14ac:dyDescent="0.25">
      <c r="A37" s="235"/>
      <c r="B37" s="236"/>
      <c r="C37" s="243"/>
      <c r="D37" s="244"/>
      <c r="E37" s="244"/>
      <c r="F37" s="244"/>
      <c r="G37" s="245"/>
      <c r="H37" s="236"/>
      <c r="I37" s="40" t="s">
        <v>44</v>
      </c>
      <c r="J37" s="40" t="s">
        <v>45</v>
      </c>
      <c r="K37" s="40" t="s">
        <v>46</v>
      </c>
      <c r="L37" s="40" t="s">
        <v>47</v>
      </c>
      <c r="M37" s="40" t="s">
        <v>48</v>
      </c>
      <c r="N37" s="40" t="s">
        <v>49</v>
      </c>
      <c r="O37" s="40" t="s">
        <v>45</v>
      </c>
      <c r="P37" s="40" t="s">
        <v>50</v>
      </c>
    </row>
    <row r="38" spans="1:53" s="4" customFormat="1" ht="13.5" customHeight="1" x14ac:dyDescent="0.25">
      <c r="A38" s="41">
        <v>1</v>
      </c>
      <c r="B38" s="42">
        <v>2</v>
      </c>
      <c r="C38" s="228">
        <v>3</v>
      </c>
      <c r="D38" s="229"/>
      <c r="E38" s="229"/>
      <c r="F38" s="229"/>
      <c r="G38" s="230"/>
      <c r="H38" s="42">
        <v>4</v>
      </c>
      <c r="I38" s="42">
        <v>5</v>
      </c>
      <c r="J38" s="42">
        <v>6</v>
      </c>
      <c r="K38" s="42">
        <v>7</v>
      </c>
      <c r="L38" s="42">
        <v>8</v>
      </c>
      <c r="M38" s="42">
        <v>9</v>
      </c>
      <c r="N38" s="42">
        <v>10</v>
      </c>
      <c r="O38" s="42">
        <v>11</v>
      </c>
      <c r="P38" s="42">
        <v>12</v>
      </c>
    </row>
    <row r="39" spans="1:53" s="22" customFormat="1" ht="15" x14ac:dyDescent="0.25">
      <c r="A39" s="225" t="s">
        <v>159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7"/>
      <c r="Q39" s="4"/>
      <c r="R39" s="4"/>
      <c r="S39" s="4"/>
      <c r="T39" s="4"/>
      <c r="U39" s="4"/>
      <c r="V39" s="4"/>
      <c r="W39" s="4"/>
      <c r="X39" s="4"/>
      <c r="Y39" s="4"/>
      <c r="Z39" s="4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3" t="s">
        <v>159</v>
      </c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</row>
    <row r="40" spans="1:53" s="22" customFormat="1" ht="15" x14ac:dyDescent="0.25">
      <c r="A40" s="225" t="s">
        <v>52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7"/>
      <c r="Q40" s="4"/>
      <c r="R40" s="4"/>
      <c r="S40" s="4"/>
      <c r="T40" s="4"/>
      <c r="U40" s="4"/>
      <c r="V40" s="4"/>
      <c r="W40" s="4"/>
      <c r="X40" s="4"/>
      <c r="Y40" s="4"/>
      <c r="Z40" s="4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3"/>
      <c r="AN40" s="43" t="s">
        <v>52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s="22" customFormat="1" ht="23.25" x14ac:dyDescent="0.25">
      <c r="A41" s="44" t="s">
        <v>53</v>
      </c>
      <c r="B41" s="45" t="s">
        <v>160</v>
      </c>
      <c r="C41" s="224" t="s">
        <v>161</v>
      </c>
      <c r="D41" s="224"/>
      <c r="E41" s="224"/>
      <c r="F41" s="224"/>
      <c r="G41" s="224"/>
      <c r="H41" s="46" t="s">
        <v>162</v>
      </c>
      <c r="I41" s="47">
        <f>0.047/100*O34</f>
        <v>4.7E-2</v>
      </c>
      <c r="J41" s="48">
        <v>1</v>
      </c>
      <c r="K41" s="70">
        <v>4.7E-2</v>
      </c>
      <c r="L41" s="50"/>
      <c r="M41" s="47"/>
      <c r="N41" s="50"/>
      <c r="O41" s="47"/>
      <c r="P41" s="51"/>
      <c r="Q41" s="4"/>
      <c r="R41" s="4"/>
      <c r="S41" s="4"/>
      <c r="T41" s="4"/>
      <c r="U41" s="4"/>
      <c r="V41" s="4"/>
      <c r="W41" s="4"/>
      <c r="X41" s="4"/>
      <c r="Y41" s="4"/>
      <c r="Z41" s="4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3"/>
      <c r="AN41" s="43"/>
      <c r="AO41" s="43" t="s">
        <v>161</v>
      </c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  <row r="42" spans="1:53" s="22" customFormat="1" ht="15" x14ac:dyDescent="0.25">
      <c r="A42" s="52"/>
      <c r="B42" s="53"/>
      <c r="C42" s="222" t="s">
        <v>57</v>
      </c>
      <c r="D42" s="222"/>
      <c r="E42" s="222"/>
      <c r="F42" s="222"/>
      <c r="G42" s="222"/>
      <c r="H42" s="46"/>
      <c r="I42" s="47"/>
      <c r="J42" s="47"/>
      <c r="K42" s="47"/>
      <c r="L42" s="50"/>
      <c r="M42" s="47"/>
      <c r="N42" s="54"/>
      <c r="O42" s="47"/>
      <c r="P42" s="55">
        <f>1179/100*O34</f>
        <v>1179</v>
      </c>
      <c r="Q42" s="56"/>
      <c r="R42" s="56"/>
      <c r="S42" s="4"/>
      <c r="T42" s="4"/>
      <c r="U42" s="4"/>
      <c r="V42" s="4"/>
      <c r="W42" s="4"/>
      <c r="X42" s="4"/>
      <c r="Y42" s="4"/>
      <c r="Z42" s="4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3"/>
      <c r="AN42" s="43"/>
      <c r="AO42" s="43"/>
      <c r="AP42" s="43" t="s">
        <v>57</v>
      </c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3" s="22" customFormat="1" ht="15" x14ac:dyDescent="0.25">
      <c r="A43" s="57"/>
      <c r="B43" s="58"/>
      <c r="C43" s="223" t="s">
        <v>58</v>
      </c>
      <c r="D43" s="223"/>
      <c r="E43" s="223"/>
      <c r="F43" s="223"/>
      <c r="G43" s="223"/>
      <c r="H43" s="59"/>
      <c r="I43" s="60"/>
      <c r="J43" s="60"/>
      <c r="K43" s="60"/>
      <c r="L43" s="61"/>
      <c r="M43" s="60"/>
      <c r="N43" s="61"/>
      <c r="O43" s="60"/>
      <c r="P43" s="66">
        <f>120/100*O34</f>
        <v>120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3"/>
      <c r="AN43" s="43"/>
      <c r="AO43" s="43"/>
      <c r="AP43" s="43"/>
      <c r="AQ43" s="8" t="s">
        <v>58</v>
      </c>
      <c r="AR43" s="8"/>
      <c r="AS43" s="8"/>
      <c r="AT43" s="8"/>
      <c r="AU43" s="8"/>
      <c r="AV43" s="8"/>
      <c r="AW43" s="8"/>
      <c r="AX43" s="8"/>
      <c r="AY43" s="8"/>
      <c r="AZ43" s="8"/>
      <c r="BA43" s="8"/>
    </row>
    <row r="44" spans="1:53" s="22" customFormat="1" ht="23.25" x14ac:dyDescent="0.25">
      <c r="A44" s="57"/>
      <c r="B44" s="58" t="s">
        <v>73</v>
      </c>
      <c r="C44" s="223" t="s">
        <v>74</v>
      </c>
      <c r="D44" s="223"/>
      <c r="E44" s="223"/>
      <c r="F44" s="223"/>
      <c r="G44" s="223"/>
      <c r="H44" s="59" t="s">
        <v>61</v>
      </c>
      <c r="I44" s="63">
        <v>92</v>
      </c>
      <c r="J44" s="60"/>
      <c r="K44" s="63">
        <v>92</v>
      </c>
      <c r="L44" s="61"/>
      <c r="M44" s="60"/>
      <c r="N44" s="61"/>
      <c r="O44" s="60"/>
      <c r="P44" s="95">
        <f>P43*K44%</f>
        <v>110.4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3"/>
      <c r="AN44" s="43"/>
      <c r="AO44" s="43"/>
      <c r="AP44" s="43"/>
      <c r="AQ44" s="8" t="s">
        <v>74</v>
      </c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s="22" customFormat="1" ht="23.25" x14ac:dyDescent="0.25">
      <c r="A45" s="57"/>
      <c r="B45" s="58" t="s">
        <v>75</v>
      </c>
      <c r="C45" s="223" t="s">
        <v>76</v>
      </c>
      <c r="D45" s="223"/>
      <c r="E45" s="223"/>
      <c r="F45" s="223"/>
      <c r="G45" s="223"/>
      <c r="H45" s="59" t="s">
        <v>61</v>
      </c>
      <c r="I45" s="63">
        <v>46</v>
      </c>
      <c r="J45" s="60"/>
      <c r="K45" s="63">
        <v>46</v>
      </c>
      <c r="L45" s="61"/>
      <c r="M45" s="60"/>
      <c r="N45" s="61"/>
      <c r="O45" s="60"/>
      <c r="P45" s="95">
        <f>P43*K45%</f>
        <v>55.2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3"/>
      <c r="AN45" s="43"/>
      <c r="AO45" s="43"/>
      <c r="AP45" s="43"/>
      <c r="AQ45" s="8" t="s">
        <v>76</v>
      </c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s="22" customFormat="1" ht="15" x14ac:dyDescent="0.25">
      <c r="A46" s="64"/>
      <c r="B46" s="65"/>
      <c r="C46" s="222" t="s">
        <v>64</v>
      </c>
      <c r="D46" s="222"/>
      <c r="E46" s="222"/>
      <c r="F46" s="222"/>
      <c r="G46" s="222"/>
      <c r="H46" s="46"/>
      <c r="I46" s="47"/>
      <c r="J46" s="47"/>
      <c r="K46" s="47"/>
      <c r="L46" s="50"/>
      <c r="M46" s="47"/>
      <c r="N46" s="54">
        <v>28595.74</v>
      </c>
      <c r="O46" s="47"/>
      <c r="P46" s="96">
        <f>P42+P44+P45</f>
        <v>1344.6000000000001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3"/>
      <c r="AN46" s="43"/>
      <c r="AO46" s="43"/>
      <c r="AP46" s="43"/>
      <c r="AQ46" s="8"/>
      <c r="AR46" s="43" t="s">
        <v>64</v>
      </c>
      <c r="AS46" s="8"/>
      <c r="AT46" s="8"/>
      <c r="AU46" s="8"/>
      <c r="AV46" s="8"/>
      <c r="AW46" s="8"/>
      <c r="AX46" s="8"/>
      <c r="AY46" s="8"/>
      <c r="AZ46" s="8"/>
      <c r="BA46" s="8"/>
    </row>
    <row r="47" spans="1:53" s="22" customFormat="1" ht="23.25" x14ac:dyDescent="0.25">
      <c r="A47" s="44" t="s">
        <v>65</v>
      </c>
      <c r="B47" s="45" t="s">
        <v>54</v>
      </c>
      <c r="C47" s="224" t="s">
        <v>55</v>
      </c>
      <c r="D47" s="224"/>
      <c r="E47" s="224"/>
      <c r="F47" s="224"/>
      <c r="G47" s="224"/>
      <c r="H47" s="46" t="s">
        <v>56</v>
      </c>
      <c r="I47" s="47">
        <f>0.05/100*O34</f>
        <v>0.05</v>
      </c>
      <c r="J47" s="48">
        <v>1</v>
      </c>
      <c r="K47" s="49">
        <v>0.05</v>
      </c>
      <c r="L47" s="50"/>
      <c r="M47" s="47"/>
      <c r="N47" s="50"/>
      <c r="O47" s="47"/>
      <c r="P47" s="51"/>
      <c r="Q47" s="4"/>
      <c r="R47" s="4"/>
      <c r="S47" s="4"/>
      <c r="T47" s="4"/>
      <c r="U47" s="4"/>
      <c r="V47" s="4"/>
      <c r="W47" s="4"/>
      <c r="X47" s="4"/>
      <c r="Y47" s="4"/>
      <c r="Z47" s="4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3"/>
      <c r="AN47" s="43"/>
      <c r="AO47" s="43" t="s">
        <v>55</v>
      </c>
      <c r="AP47" s="43"/>
      <c r="AQ47" s="8"/>
      <c r="AR47" s="43"/>
      <c r="AS47" s="8"/>
      <c r="AT47" s="8"/>
      <c r="AU47" s="8"/>
      <c r="AV47" s="8"/>
      <c r="AW47" s="8"/>
      <c r="AX47" s="8"/>
      <c r="AY47" s="8"/>
      <c r="AZ47" s="8"/>
      <c r="BA47" s="8"/>
    </row>
    <row r="48" spans="1:53" s="22" customFormat="1" ht="15" x14ac:dyDescent="0.25">
      <c r="A48" s="52"/>
      <c r="B48" s="53"/>
      <c r="C48" s="222" t="s">
        <v>57</v>
      </c>
      <c r="D48" s="222"/>
      <c r="E48" s="222"/>
      <c r="F48" s="222"/>
      <c r="G48" s="222"/>
      <c r="H48" s="46"/>
      <c r="I48" s="47"/>
      <c r="J48" s="47"/>
      <c r="K48" s="47"/>
      <c r="L48" s="50"/>
      <c r="M48" s="47"/>
      <c r="N48" s="54"/>
      <c r="O48" s="47"/>
      <c r="P48" s="55">
        <f>2135/100*O34</f>
        <v>2135</v>
      </c>
      <c r="Q48" s="56"/>
      <c r="R48" s="56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3"/>
      <c r="AN48" s="43"/>
      <c r="AO48" s="43"/>
      <c r="AP48" s="43" t="s">
        <v>57</v>
      </c>
      <c r="AQ48" s="8"/>
      <c r="AR48" s="43"/>
      <c r="AS48" s="8"/>
      <c r="AT48" s="8"/>
      <c r="AU48" s="8"/>
      <c r="AV48" s="8"/>
      <c r="AW48" s="8"/>
      <c r="AX48" s="8"/>
      <c r="AY48" s="8"/>
      <c r="AZ48" s="8"/>
      <c r="BA48" s="8"/>
    </row>
    <row r="49" spans="1:53" s="22" customFormat="1" ht="15" x14ac:dyDescent="0.25">
      <c r="A49" s="57"/>
      <c r="B49" s="58"/>
      <c r="C49" s="223" t="s">
        <v>58</v>
      </c>
      <c r="D49" s="223"/>
      <c r="E49" s="223"/>
      <c r="F49" s="223"/>
      <c r="G49" s="223"/>
      <c r="H49" s="59"/>
      <c r="I49" s="60"/>
      <c r="J49" s="60"/>
      <c r="K49" s="60"/>
      <c r="L49" s="61"/>
      <c r="M49" s="60"/>
      <c r="N49" s="61"/>
      <c r="O49" s="60"/>
      <c r="P49" s="62">
        <f>2135/100*O34</f>
        <v>2135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3"/>
      <c r="AN49" s="43"/>
      <c r="AO49" s="43"/>
      <c r="AP49" s="43"/>
      <c r="AQ49" s="8" t="s">
        <v>58</v>
      </c>
      <c r="AR49" s="43"/>
      <c r="AS49" s="8"/>
      <c r="AT49" s="8"/>
      <c r="AU49" s="8"/>
      <c r="AV49" s="8"/>
      <c r="AW49" s="8"/>
      <c r="AX49" s="8"/>
      <c r="AY49" s="8"/>
      <c r="AZ49" s="8"/>
      <c r="BA49" s="8"/>
    </row>
    <row r="50" spans="1:53" s="22" customFormat="1" ht="15" x14ac:dyDescent="0.25">
      <c r="A50" s="57"/>
      <c r="B50" s="58" t="s">
        <v>59</v>
      </c>
      <c r="C50" s="223" t="s">
        <v>60</v>
      </c>
      <c r="D50" s="223"/>
      <c r="E50" s="223"/>
      <c r="F50" s="223"/>
      <c r="G50" s="223"/>
      <c r="H50" s="59" t="s">
        <v>61</v>
      </c>
      <c r="I50" s="63">
        <v>89</v>
      </c>
      <c r="J50" s="60"/>
      <c r="K50" s="63">
        <v>89</v>
      </c>
      <c r="L50" s="61"/>
      <c r="M50" s="60"/>
      <c r="N50" s="61"/>
      <c r="O50" s="60"/>
      <c r="P50" s="95">
        <f>P49*K50%</f>
        <v>1900.15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43"/>
      <c r="AN50" s="43"/>
      <c r="AO50" s="43"/>
      <c r="AP50" s="43"/>
      <c r="AQ50" s="8" t="s">
        <v>60</v>
      </c>
      <c r="AR50" s="43"/>
      <c r="AS50" s="8"/>
      <c r="AT50" s="8"/>
      <c r="AU50" s="8"/>
      <c r="AV50" s="8"/>
      <c r="AW50" s="8"/>
      <c r="AX50" s="8"/>
      <c r="AY50" s="8"/>
      <c r="AZ50" s="8"/>
      <c r="BA50" s="8"/>
    </row>
    <row r="51" spans="1:53" s="22" customFormat="1" ht="15" x14ac:dyDescent="0.25">
      <c r="A51" s="57"/>
      <c r="B51" s="58" t="s">
        <v>62</v>
      </c>
      <c r="C51" s="223" t="s">
        <v>63</v>
      </c>
      <c r="D51" s="223"/>
      <c r="E51" s="223"/>
      <c r="F51" s="223"/>
      <c r="G51" s="223"/>
      <c r="H51" s="59" t="s">
        <v>61</v>
      </c>
      <c r="I51" s="63">
        <v>40</v>
      </c>
      <c r="J51" s="60"/>
      <c r="K51" s="63">
        <v>40</v>
      </c>
      <c r="L51" s="61"/>
      <c r="M51" s="60"/>
      <c r="N51" s="61"/>
      <c r="O51" s="60"/>
      <c r="P51" s="95">
        <f>P49*K51%</f>
        <v>854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43"/>
      <c r="AN51" s="43"/>
      <c r="AO51" s="43"/>
      <c r="AP51" s="43"/>
      <c r="AQ51" s="8" t="s">
        <v>63</v>
      </c>
      <c r="AR51" s="43"/>
      <c r="AS51" s="8"/>
      <c r="AT51" s="8"/>
      <c r="AU51" s="8"/>
      <c r="AV51" s="8"/>
      <c r="AW51" s="8"/>
      <c r="AX51" s="8"/>
      <c r="AY51" s="8"/>
      <c r="AZ51" s="8"/>
      <c r="BA51" s="8"/>
    </row>
    <row r="52" spans="1:53" s="22" customFormat="1" ht="15" x14ac:dyDescent="0.25">
      <c r="A52" s="64"/>
      <c r="B52" s="65"/>
      <c r="C52" s="222" t="s">
        <v>64</v>
      </c>
      <c r="D52" s="222"/>
      <c r="E52" s="222"/>
      <c r="F52" s="222"/>
      <c r="G52" s="222"/>
      <c r="H52" s="46"/>
      <c r="I52" s="47"/>
      <c r="J52" s="47"/>
      <c r="K52" s="47"/>
      <c r="L52" s="50"/>
      <c r="M52" s="47"/>
      <c r="N52" s="54">
        <v>97780</v>
      </c>
      <c r="O52" s="47"/>
      <c r="P52" s="96">
        <f>P48+P50+P51</f>
        <v>4889.1499999999996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43"/>
      <c r="AN52" s="43"/>
      <c r="AO52" s="43"/>
      <c r="AP52" s="43"/>
      <c r="AQ52" s="8"/>
      <c r="AR52" s="43" t="s">
        <v>64</v>
      </c>
      <c r="AS52" s="8"/>
      <c r="AT52" s="8"/>
      <c r="AU52" s="8"/>
      <c r="AV52" s="8"/>
      <c r="AW52" s="8"/>
      <c r="AX52" s="8"/>
      <c r="AY52" s="8"/>
      <c r="AZ52" s="8"/>
      <c r="BA52" s="8"/>
    </row>
    <row r="53" spans="1:53" s="22" customFormat="1" ht="23.25" x14ac:dyDescent="0.25">
      <c r="A53" s="44" t="s">
        <v>69</v>
      </c>
      <c r="B53" s="45" t="s">
        <v>66</v>
      </c>
      <c r="C53" s="224" t="s">
        <v>163</v>
      </c>
      <c r="D53" s="224"/>
      <c r="E53" s="224"/>
      <c r="F53" s="224"/>
      <c r="G53" s="224"/>
      <c r="H53" s="46" t="s">
        <v>56</v>
      </c>
      <c r="I53" s="47">
        <f>0.05/100*O34</f>
        <v>0.05</v>
      </c>
      <c r="J53" s="48">
        <v>1</v>
      </c>
      <c r="K53" s="49">
        <v>0.05</v>
      </c>
      <c r="L53" s="50"/>
      <c r="M53" s="47"/>
      <c r="N53" s="50"/>
      <c r="O53" s="47"/>
      <c r="P53" s="51"/>
      <c r="Q53" s="4"/>
      <c r="R53" s="4"/>
      <c r="S53" s="4"/>
      <c r="T53" s="4"/>
      <c r="U53" s="4"/>
      <c r="V53" s="4"/>
      <c r="W53" s="4"/>
      <c r="X53" s="4"/>
      <c r="Y53" s="4"/>
      <c r="Z53" s="4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43"/>
      <c r="AN53" s="43"/>
      <c r="AO53" s="43" t="s">
        <v>163</v>
      </c>
      <c r="AP53" s="43"/>
      <c r="AQ53" s="8"/>
      <c r="AR53" s="43"/>
      <c r="AS53" s="8"/>
      <c r="AT53" s="8"/>
      <c r="AU53" s="8"/>
      <c r="AV53" s="8"/>
      <c r="AW53" s="8"/>
      <c r="AX53" s="8"/>
      <c r="AY53" s="8"/>
      <c r="AZ53" s="8"/>
      <c r="BA53" s="8"/>
    </row>
    <row r="54" spans="1:53" s="22" customFormat="1" ht="15" x14ac:dyDescent="0.25">
      <c r="A54" s="52"/>
      <c r="B54" s="53"/>
      <c r="C54" s="222" t="s">
        <v>57</v>
      </c>
      <c r="D54" s="222"/>
      <c r="E54" s="222"/>
      <c r="F54" s="222"/>
      <c r="G54" s="222"/>
      <c r="H54" s="46"/>
      <c r="I54" s="47"/>
      <c r="J54" s="47"/>
      <c r="K54" s="47"/>
      <c r="L54" s="50"/>
      <c r="M54" s="47"/>
      <c r="N54" s="54"/>
      <c r="O54" s="47"/>
      <c r="P54" s="55">
        <f>1535/100*O34</f>
        <v>1535</v>
      </c>
      <c r="Q54" s="56"/>
      <c r="R54" s="56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43"/>
      <c r="AN54" s="43"/>
      <c r="AO54" s="43"/>
      <c r="AP54" s="43" t="s">
        <v>57</v>
      </c>
      <c r="AQ54" s="8"/>
      <c r="AR54" s="43"/>
      <c r="AS54" s="8"/>
      <c r="AT54" s="8"/>
      <c r="AU54" s="8"/>
      <c r="AV54" s="8"/>
      <c r="AW54" s="8"/>
      <c r="AX54" s="8"/>
      <c r="AY54" s="8"/>
      <c r="AZ54" s="8"/>
      <c r="BA54" s="8"/>
    </row>
    <row r="55" spans="1:53" s="22" customFormat="1" ht="15" x14ac:dyDescent="0.25">
      <c r="A55" s="57"/>
      <c r="B55" s="58"/>
      <c r="C55" s="223" t="s">
        <v>58</v>
      </c>
      <c r="D55" s="223"/>
      <c r="E55" s="223"/>
      <c r="F55" s="223"/>
      <c r="G55" s="223"/>
      <c r="H55" s="59"/>
      <c r="I55" s="60"/>
      <c r="J55" s="60"/>
      <c r="K55" s="60"/>
      <c r="L55" s="61"/>
      <c r="M55" s="60"/>
      <c r="N55" s="61"/>
      <c r="O55" s="60"/>
      <c r="P55" s="62">
        <f>1535/100*O34</f>
        <v>1535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43"/>
      <c r="AN55" s="43"/>
      <c r="AO55" s="43"/>
      <c r="AP55" s="43"/>
      <c r="AQ55" s="8" t="s">
        <v>58</v>
      </c>
      <c r="AR55" s="43"/>
      <c r="AS55" s="8"/>
      <c r="AT55" s="8"/>
      <c r="AU55" s="8"/>
      <c r="AV55" s="8"/>
      <c r="AW55" s="8"/>
      <c r="AX55" s="8"/>
      <c r="AY55" s="8"/>
      <c r="AZ55" s="8"/>
      <c r="BA55" s="8"/>
    </row>
    <row r="56" spans="1:53" s="22" customFormat="1" ht="15" x14ac:dyDescent="0.25">
      <c r="A56" s="57"/>
      <c r="B56" s="58" t="s">
        <v>59</v>
      </c>
      <c r="C56" s="223" t="s">
        <v>60</v>
      </c>
      <c r="D56" s="223"/>
      <c r="E56" s="223"/>
      <c r="F56" s="223"/>
      <c r="G56" s="223"/>
      <c r="H56" s="59" t="s">
        <v>61</v>
      </c>
      <c r="I56" s="63">
        <v>89</v>
      </c>
      <c r="J56" s="60"/>
      <c r="K56" s="63">
        <v>89</v>
      </c>
      <c r="L56" s="61"/>
      <c r="M56" s="60"/>
      <c r="N56" s="61"/>
      <c r="O56" s="60"/>
      <c r="P56" s="95">
        <f>P55*K56%</f>
        <v>1366.15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43"/>
      <c r="AN56" s="43"/>
      <c r="AO56" s="43"/>
      <c r="AP56" s="43"/>
      <c r="AQ56" s="8" t="s">
        <v>60</v>
      </c>
      <c r="AR56" s="43"/>
      <c r="AS56" s="8"/>
      <c r="AT56" s="8"/>
      <c r="AU56" s="8"/>
      <c r="AV56" s="8"/>
      <c r="AW56" s="8"/>
      <c r="AX56" s="8"/>
      <c r="AY56" s="8"/>
      <c r="AZ56" s="8"/>
      <c r="BA56" s="8"/>
    </row>
    <row r="57" spans="1:53" s="22" customFormat="1" ht="15" x14ac:dyDescent="0.25">
      <c r="A57" s="57"/>
      <c r="B57" s="58" t="s">
        <v>62</v>
      </c>
      <c r="C57" s="223" t="s">
        <v>63</v>
      </c>
      <c r="D57" s="223"/>
      <c r="E57" s="223"/>
      <c r="F57" s="223"/>
      <c r="G57" s="223"/>
      <c r="H57" s="59" t="s">
        <v>61</v>
      </c>
      <c r="I57" s="63">
        <v>40</v>
      </c>
      <c r="J57" s="60"/>
      <c r="K57" s="63">
        <v>40</v>
      </c>
      <c r="L57" s="61"/>
      <c r="M57" s="60"/>
      <c r="N57" s="61"/>
      <c r="O57" s="60"/>
      <c r="P57" s="95">
        <f>P55*K57%</f>
        <v>614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43"/>
      <c r="AN57" s="43"/>
      <c r="AO57" s="43"/>
      <c r="AP57" s="43"/>
      <c r="AQ57" s="8" t="s">
        <v>63</v>
      </c>
      <c r="AR57" s="43"/>
      <c r="AS57" s="8"/>
      <c r="AT57" s="8"/>
      <c r="AU57" s="8"/>
      <c r="AV57" s="8"/>
      <c r="AW57" s="8"/>
      <c r="AX57" s="8"/>
      <c r="AY57" s="8"/>
      <c r="AZ57" s="8"/>
      <c r="BA57" s="8"/>
    </row>
    <row r="58" spans="1:53" s="22" customFormat="1" ht="15" x14ac:dyDescent="0.25">
      <c r="A58" s="64"/>
      <c r="B58" s="65"/>
      <c r="C58" s="222" t="s">
        <v>64</v>
      </c>
      <c r="D58" s="222"/>
      <c r="E58" s="222"/>
      <c r="F58" s="222"/>
      <c r="G58" s="222"/>
      <c r="H58" s="46"/>
      <c r="I58" s="47"/>
      <c r="J58" s="47"/>
      <c r="K58" s="47"/>
      <c r="L58" s="50"/>
      <c r="M58" s="47"/>
      <c r="N58" s="54">
        <v>70300</v>
      </c>
      <c r="O58" s="47"/>
      <c r="P58" s="96">
        <f>P54+P56+P57</f>
        <v>3515.15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43"/>
      <c r="AN58" s="43"/>
      <c r="AO58" s="43"/>
      <c r="AP58" s="43"/>
      <c r="AQ58" s="8"/>
      <c r="AR58" s="43" t="s">
        <v>64</v>
      </c>
      <c r="AS58" s="8"/>
      <c r="AT58" s="8"/>
      <c r="AU58" s="8"/>
      <c r="AV58" s="8"/>
      <c r="AW58" s="8"/>
      <c r="AX58" s="8"/>
      <c r="AY58" s="8"/>
      <c r="AZ58" s="8"/>
      <c r="BA58" s="8"/>
    </row>
    <row r="59" spans="1:53" s="22" customFormat="1" ht="23.25" x14ac:dyDescent="0.25">
      <c r="A59" s="44" t="s">
        <v>77</v>
      </c>
      <c r="B59" s="45" t="s">
        <v>164</v>
      </c>
      <c r="C59" s="224" t="s">
        <v>165</v>
      </c>
      <c r="D59" s="224"/>
      <c r="E59" s="224"/>
      <c r="F59" s="224"/>
      <c r="G59" s="224"/>
      <c r="H59" s="46" t="s">
        <v>162</v>
      </c>
      <c r="I59" s="47">
        <f>0.047/100*O34</f>
        <v>4.7E-2</v>
      </c>
      <c r="J59" s="48">
        <v>1</v>
      </c>
      <c r="K59" s="70">
        <v>4.7E-2</v>
      </c>
      <c r="L59" s="50"/>
      <c r="M59" s="47"/>
      <c r="N59" s="50"/>
      <c r="O59" s="47"/>
      <c r="P59" s="51"/>
      <c r="Q59" s="4"/>
      <c r="R59" s="4"/>
      <c r="S59" s="4"/>
      <c r="T59" s="4"/>
      <c r="U59" s="4"/>
      <c r="V59" s="4"/>
      <c r="W59" s="4"/>
      <c r="X59" s="4"/>
      <c r="Y59" s="4"/>
      <c r="Z59" s="4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43"/>
      <c r="AN59" s="43"/>
      <c r="AO59" s="43" t="s">
        <v>165</v>
      </c>
      <c r="AP59" s="43"/>
      <c r="AQ59" s="8"/>
      <c r="AR59" s="43"/>
      <c r="AS59" s="8"/>
      <c r="AT59" s="8"/>
      <c r="AU59" s="8"/>
      <c r="AV59" s="8"/>
      <c r="AW59" s="8"/>
      <c r="AX59" s="8"/>
      <c r="AY59" s="8"/>
      <c r="AZ59" s="8"/>
      <c r="BA59" s="8"/>
    </row>
    <row r="60" spans="1:53" s="22" customFormat="1" ht="15" x14ac:dyDescent="0.25">
      <c r="A60" s="52"/>
      <c r="B60" s="53"/>
      <c r="C60" s="222" t="s">
        <v>57</v>
      </c>
      <c r="D60" s="222"/>
      <c r="E60" s="222"/>
      <c r="F60" s="222"/>
      <c r="G60" s="222"/>
      <c r="H60" s="46"/>
      <c r="I60" s="47"/>
      <c r="J60" s="47"/>
      <c r="K60" s="47"/>
      <c r="L60" s="50"/>
      <c r="M60" s="47"/>
      <c r="N60" s="54"/>
      <c r="O60" s="47"/>
      <c r="P60" s="55">
        <f>277/100*O34</f>
        <v>277</v>
      </c>
      <c r="Q60" s="56"/>
      <c r="R60" s="56"/>
      <c r="S60" s="4"/>
      <c r="T60" s="4"/>
      <c r="U60" s="4"/>
      <c r="V60" s="4"/>
      <c r="W60" s="4"/>
      <c r="X60" s="4"/>
      <c r="Y60" s="4"/>
      <c r="Z60" s="4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43"/>
      <c r="AN60" s="43"/>
      <c r="AO60" s="43"/>
      <c r="AP60" s="43" t="s">
        <v>57</v>
      </c>
      <c r="AQ60" s="8"/>
      <c r="AR60" s="43"/>
      <c r="AS60" s="8"/>
      <c r="AT60" s="8"/>
      <c r="AU60" s="8"/>
      <c r="AV60" s="8"/>
      <c r="AW60" s="8"/>
      <c r="AX60" s="8"/>
      <c r="AY60" s="8"/>
      <c r="AZ60" s="8"/>
      <c r="BA60" s="8"/>
    </row>
    <row r="61" spans="1:53" s="22" customFormat="1" ht="15" x14ac:dyDescent="0.25">
      <c r="A61" s="57"/>
      <c r="B61" s="58"/>
      <c r="C61" s="223" t="s">
        <v>58</v>
      </c>
      <c r="D61" s="223"/>
      <c r="E61" s="223"/>
      <c r="F61" s="223"/>
      <c r="G61" s="223"/>
      <c r="H61" s="59"/>
      <c r="I61" s="60"/>
      <c r="J61" s="60"/>
      <c r="K61" s="60"/>
      <c r="L61" s="61"/>
      <c r="M61" s="60"/>
      <c r="N61" s="61"/>
      <c r="O61" s="60"/>
      <c r="P61" s="92"/>
      <c r="Q61" s="4"/>
      <c r="R61" s="4"/>
      <c r="S61" s="4"/>
      <c r="T61" s="4"/>
      <c r="U61" s="4"/>
      <c r="V61" s="4"/>
      <c r="W61" s="4"/>
      <c r="X61" s="4"/>
      <c r="Y61" s="4"/>
      <c r="Z61" s="4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43"/>
      <c r="AN61" s="43"/>
      <c r="AO61" s="43"/>
      <c r="AP61" s="43"/>
      <c r="AQ61" s="8" t="s">
        <v>58</v>
      </c>
      <c r="AR61" s="43"/>
      <c r="AS61" s="8"/>
      <c r="AT61" s="8"/>
      <c r="AU61" s="8"/>
      <c r="AV61" s="8"/>
      <c r="AW61" s="8"/>
      <c r="AX61" s="8"/>
      <c r="AY61" s="8"/>
      <c r="AZ61" s="8"/>
      <c r="BA61" s="8"/>
    </row>
    <row r="62" spans="1:53" s="22" customFormat="1" ht="23.25" x14ac:dyDescent="0.25">
      <c r="A62" s="57"/>
      <c r="B62" s="58" t="s">
        <v>73</v>
      </c>
      <c r="C62" s="223" t="s">
        <v>74</v>
      </c>
      <c r="D62" s="223"/>
      <c r="E62" s="223"/>
      <c r="F62" s="223"/>
      <c r="G62" s="223"/>
      <c r="H62" s="59" t="s">
        <v>61</v>
      </c>
      <c r="I62" s="63">
        <v>92</v>
      </c>
      <c r="J62" s="60"/>
      <c r="K62" s="63">
        <v>92</v>
      </c>
      <c r="L62" s="61"/>
      <c r="M62" s="60"/>
      <c r="N62" s="61"/>
      <c r="O62" s="60"/>
      <c r="P62" s="95">
        <f>P61*K62%</f>
        <v>0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43"/>
      <c r="AN62" s="43"/>
      <c r="AO62" s="43"/>
      <c r="AP62" s="43"/>
      <c r="AQ62" s="8" t="s">
        <v>74</v>
      </c>
      <c r="AR62" s="43"/>
      <c r="AS62" s="8"/>
      <c r="AT62" s="8"/>
      <c r="AU62" s="8"/>
      <c r="AV62" s="8"/>
      <c r="AW62" s="8"/>
      <c r="AX62" s="8"/>
      <c r="AY62" s="8"/>
      <c r="AZ62" s="8"/>
      <c r="BA62" s="8"/>
    </row>
    <row r="63" spans="1:53" s="22" customFormat="1" ht="23.25" x14ac:dyDescent="0.25">
      <c r="A63" s="57"/>
      <c r="B63" s="58" t="s">
        <v>75</v>
      </c>
      <c r="C63" s="223" t="s">
        <v>76</v>
      </c>
      <c r="D63" s="223"/>
      <c r="E63" s="223"/>
      <c r="F63" s="223"/>
      <c r="G63" s="223"/>
      <c r="H63" s="59" t="s">
        <v>61</v>
      </c>
      <c r="I63" s="63">
        <v>46</v>
      </c>
      <c r="J63" s="60"/>
      <c r="K63" s="63">
        <v>46</v>
      </c>
      <c r="L63" s="61"/>
      <c r="M63" s="60"/>
      <c r="N63" s="61"/>
      <c r="O63" s="60"/>
      <c r="P63" s="95">
        <f>P61*K63%</f>
        <v>0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43"/>
      <c r="AN63" s="43"/>
      <c r="AO63" s="43"/>
      <c r="AP63" s="43"/>
      <c r="AQ63" s="8" t="s">
        <v>76</v>
      </c>
      <c r="AR63" s="43"/>
      <c r="AS63" s="8"/>
      <c r="AT63" s="8"/>
      <c r="AU63" s="8"/>
      <c r="AV63" s="8"/>
      <c r="AW63" s="8"/>
      <c r="AX63" s="8"/>
      <c r="AY63" s="8"/>
      <c r="AZ63" s="8"/>
      <c r="BA63" s="8"/>
    </row>
    <row r="64" spans="1:53" s="22" customFormat="1" ht="15" x14ac:dyDescent="0.25">
      <c r="A64" s="64"/>
      <c r="B64" s="65"/>
      <c r="C64" s="222" t="s">
        <v>64</v>
      </c>
      <c r="D64" s="222"/>
      <c r="E64" s="222"/>
      <c r="F64" s="222"/>
      <c r="G64" s="222"/>
      <c r="H64" s="46"/>
      <c r="I64" s="47"/>
      <c r="J64" s="47"/>
      <c r="K64" s="47"/>
      <c r="L64" s="50"/>
      <c r="M64" s="47"/>
      <c r="N64" s="54">
        <v>5893.62</v>
      </c>
      <c r="O64" s="47"/>
      <c r="P64" s="96">
        <f>P60+P62+P63</f>
        <v>277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43"/>
      <c r="AN64" s="43"/>
      <c r="AO64" s="43"/>
      <c r="AP64" s="43"/>
      <c r="AQ64" s="8"/>
      <c r="AR64" s="43" t="s">
        <v>64</v>
      </c>
      <c r="AS64" s="8"/>
      <c r="AT64" s="8"/>
      <c r="AU64" s="8"/>
      <c r="AV64" s="8"/>
      <c r="AW64" s="8"/>
      <c r="AX64" s="8"/>
      <c r="AY64" s="8"/>
      <c r="AZ64" s="8"/>
      <c r="BA64" s="8"/>
    </row>
    <row r="65" spans="1:53" s="22" customFormat="1" ht="15" x14ac:dyDescent="0.25">
      <c r="A65" s="225" t="s">
        <v>68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7"/>
      <c r="Q65" s="4"/>
      <c r="R65" s="4"/>
      <c r="S65" s="4"/>
      <c r="T65" s="4"/>
      <c r="U65" s="4"/>
      <c r="V65" s="4"/>
      <c r="W65" s="4"/>
      <c r="X65" s="4"/>
      <c r="Y65" s="4"/>
      <c r="Z65" s="4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43"/>
      <c r="AN65" s="43" t="s">
        <v>68</v>
      </c>
      <c r="AO65" s="43"/>
      <c r="AP65" s="43"/>
      <c r="AQ65" s="8"/>
      <c r="AR65" s="43"/>
      <c r="AS65" s="8"/>
      <c r="AT65" s="8"/>
      <c r="AU65" s="8"/>
      <c r="AV65" s="8"/>
      <c r="AW65" s="8"/>
      <c r="AX65" s="8"/>
      <c r="AY65" s="8"/>
      <c r="AZ65" s="8"/>
      <c r="BA65" s="8"/>
    </row>
    <row r="66" spans="1:53" s="22" customFormat="1" ht="23.25" x14ac:dyDescent="0.25">
      <c r="A66" s="44" t="s">
        <v>81</v>
      </c>
      <c r="B66" s="45" t="s">
        <v>70</v>
      </c>
      <c r="C66" s="224" t="s">
        <v>71</v>
      </c>
      <c r="D66" s="224"/>
      <c r="E66" s="224"/>
      <c r="F66" s="224"/>
      <c r="G66" s="224"/>
      <c r="H66" s="46" t="s">
        <v>72</v>
      </c>
      <c r="I66" s="47">
        <f>1.03/100*O34</f>
        <v>1.03</v>
      </c>
      <c r="J66" s="48">
        <v>1</v>
      </c>
      <c r="K66" s="49">
        <v>1.03</v>
      </c>
      <c r="L66" s="50"/>
      <c r="M66" s="47"/>
      <c r="N66" s="50"/>
      <c r="O66" s="47"/>
      <c r="P66" s="51"/>
      <c r="Q66" s="4"/>
      <c r="R66" s="4"/>
      <c r="S66" s="4"/>
      <c r="T66" s="4"/>
      <c r="U66" s="4"/>
      <c r="V66" s="4"/>
      <c r="W66" s="4"/>
      <c r="X66" s="4"/>
      <c r="Y66" s="4"/>
      <c r="Z66" s="4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43"/>
      <c r="AN66" s="43"/>
      <c r="AO66" s="43" t="s">
        <v>71</v>
      </c>
      <c r="AP66" s="43"/>
      <c r="AQ66" s="8"/>
      <c r="AR66" s="43"/>
      <c r="AS66" s="8"/>
      <c r="AT66" s="8"/>
      <c r="AU66" s="8"/>
      <c r="AV66" s="8"/>
      <c r="AW66" s="8"/>
      <c r="AX66" s="8"/>
      <c r="AY66" s="8"/>
      <c r="AZ66" s="8"/>
      <c r="BA66" s="8"/>
    </row>
    <row r="67" spans="1:53" s="22" customFormat="1" ht="15" x14ac:dyDescent="0.25">
      <c r="A67" s="52"/>
      <c r="B67" s="53"/>
      <c r="C67" s="222" t="s">
        <v>57</v>
      </c>
      <c r="D67" s="222"/>
      <c r="E67" s="222"/>
      <c r="F67" s="222"/>
      <c r="G67" s="222"/>
      <c r="H67" s="46"/>
      <c r="I67" s="47"/>
      <c r="J67" s="47"/>
      <c r="K67" s="47"/>
      <c r="L67" s="50"/>
      <c r="M67" s="47"/>
      <c r="N67" s="54"/>
      <c r="O67" s="47"/>
      <c r="P67" s="55">
        <f>19131/100*O34</f>
        <v>19131</v>
      </c>
      <c r="Q67" s="56"/>
      <c r="R67" s="56"/>
      <c r="S67" s="4"/>
      <c r="T67" s="4"/>
      <c r="U67" s="4"/>
      <c r="V67" s="4"/>
      <c r="W67" s="4"/>
      <c r="X67" s="4"/>
      <c r="Y67" s="4"/>
      <c r="Z67" s="4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43"/>
      <c r="AN67" s="43"/>
      <c r="AO67" s="43"/>
      <c r="AP67" s="43" t="s">
        <v>57</v>
      </c>
      <c r="AQ67" s="8"/>
      <c r="AR67" s="43"/>
      <c r="AS67" s="8"/>
      <c r="AT67" s="8"/>
      <c r="AU67" s="8"/>
      <c r="AV67" s="8"/>
      <c r="AW67" s="8"/>
      <c r="AX67" s="8"/>
      <c r="AY67" s="8"/>
      <c r="AZ67" s="8"/>
      <c r="BA67" s="8"/>
    </row>
    <row r="68" spans="1:53" s="22" customFormat="1" ht="15" x14ac:dyDescent="0.25">
      <c r="A68" s="57"/>
      <c r="B68" s="58"/>
      <c r="C68" s="223" t="s">
        <v>58</v>
      </c>
      <c r="D68" s="223"/>
      <c r="E68" s="223"/>
      <c r="F68" s="223"/>
      <c r="G68" s="223"/>
      <c r="H68" s="59"/>
      <c r="I68" s="60"/>
      <c r="J68" s="60"/>
      <c r="K68" s="60"/>
      <c r="L68" s="61"/>
      <c r="M68" s="60"/>
      <c r="N68" s="61"/>
      <c r="O68" s="60"/>
      <c r="P68" s="62">
        <f>1987/100*O34</f>
        <v>1987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43"/>
      <c r="AN68" s="43"/>
      <c r="AO68" s="43"/>
      <c r="AP68" s="43"/>
      <c r="AQ68" s="8" t="s">
        <v>58</v>
      </c>
      <c r="AR68" s="43"/>
      <c r="AS68" s="8"/>
      <c r="AT68" s="8"/>
      <c r="AU68" s="8"/>
      <c r="AV68" s="8"/>
      <c r="AW68" s="8"/>
      <c r="AX68" s="8"/>
      <c r="AY68" s="8"/>
      <c r="AZ68" s="8"/>
      <c r="BA68" s="8"/>
    </row>
    <row r="69" spans="1:53" s="22" customFormat="1" ht="23.25" x14ac:dyDescent="0.25">
      <c r="A69" s="57"/>
      <c r="B69" s="58" t="s">
        <v>73</v>
      </c>
      <c r="C69" s="223" t="s">
        <v>74</v>
      </c>
      <c r="D69" s="223"/>
      <c r="E69" s="223"/>
      <c r="F69" s="223"/>
      <c r="G69" s="223"/>
      <c r="H69" s="59" t="s">
        <v>61</v>
      </c>
      <c r="I69" s="63">
        <v>92</v>
      </c>
      <c r="J69" s="60"/>
      <c r="K69" s="63">
        <v>92</v>
      </c>
      <c r="L69" s="61"/>
      <c r="M69" s="60"/>
      <c r="N69" s="61"/>
      <c r="O69" s="60"/>
      <c r="P69" s="95">
        <f>P68*K69%</f>
        <v>1828.0400000000002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43"/>
      <c r="AN69" s="43"/>
      <c r="AO69" s="43"/>
      <c r="AP69" s="43"/>
      <c r="AQ69" s="8" t="s">
        <v>74</v>
      </c>
      <c r="AR69" s="43"/>
      <c r="AS69" s="8"/>
      <c r="AT69" s="8"/>
      <c r="AU69" s="8"/>
      <c r="AV69" s="8"/>
      <c r="AW69" s="8"/>
      <c r="AX69" s="8"/>
      <c r="AY69" s="8"/>
      <c r="AZ69" s="8"/>
      <c r="BA69" s="8"/>
    </row>
    <row r="70" spans="1:53" s="22" customFormat="1" ht="23.25" x14ac:dyDescent="0.25">
      <c r="A70" s="57"/>
      <c r="B70" s="58" t="s">
        <v>75</v>
      </c>
      <c r="C70" s="223" t="s">
        <v>76</v>
      </c>
      <c r="D70" s="223"/>
      <c r="E70" s="223"/>
      <c r="F70" s="223"/>
      <c r="G70" s="223"/>
      <c r="H70" s="59" t="s">
        <v>61</v>
      </c>
      <c r="I70" s="63">
        <v>46</v>
      </c>
      <c r="J70" s="60"/>
      <c r="K70" s="63">
        <v>46</v>
      </c>
      <c r="L70" s="61"/>
      <c r="M70" s="60"/>
      <c r="N70" s="61"/>
      <c r="O70" s="60"/>
      <c r="P70" s="95">
        <f>P68*K70%</f>
        <v>914.0200000000001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43"/>
      <c r="AN70" s="43"/>
      <c r="AO70" s="43"/>
      <c r="AP70" s="43"/>
      <c r="AQ70" s="8" t="s">
        <v>76</v>
      </c>
      <c r="AR70" s="43"/>
      <c r="AS70" s="8"/>
      <c r="AT70" s="8"/>
      <c r="AU70" s="8"/>
      <c r="AV70" s="8"/>
      <c r="AW70" s="8"/>
      <c r="AX70" s="8"/>
      <c r="AY70" s="8"/>
      <c r="AZ70" s="8"/>
      <c r="BA70" s="8"/>
    </row>
    <row r="71" spans="1:53" s="22" customFormat="1" ht="15" x14ac:dyDescent="0.25">
      <c r="A71" s="64"/>
      <c r="B71" s="65"/>
      <c r="C71" s="222" t="s">
        <v>64</v>
      </c>
      <c r="D71" s="222"/>
      <c r="E71" s="222"/>
      <c r="F71" s="222"/>
      <c r="G71" s="222"/>
      <c r="H71" s="46"/>
      <c r="I71" s="47"/>
      <c r="J71" s="47"/>
      <c r="K71" s="47"/>
      <c r="L71" s="50"/>
      <c r="M71" s="47"/>
      <c r="N71" s="54">
        <v>21235.919999999998</v>
      </c>
      <c r="O71" s="47"/>
      <c r="P71" s="96">
        <f>P67+P69+P70</f>
        <v>21873.06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43"/>
      <c r="AN71" s="43"/>
      <c r="AO71" s="43"/>
      <c r="AP71" s="43"/>
      <c r="AQ71" s="8"/>
      <c r="AR71" s="43" t="s">
        <v>64</v>
      </c>
      <c r="AS71" s="8"/>
      <c r="AT71" s="8"/>
      <c r="AU71" s="8"/>
      <c r="AV71" s="8"/>
      <c r="AW71" s="8"/>
      <c r="AX71" s="8"/>
      <c r="AY71" s="8"/>
      <c r="AZ71" s="8"/>
      <c r="BA71" s="8"/>
    </row>
    <row r="72" spans="1:53" s="22" customFormat="1" ht="23.25" x14ac:dyDescent="0.25">
      <c r="A72" s="44" t="s">
        <v>89</v>
      </c>
      <c r="B72" s="45" t="s">
        <v>78</v>
      </c>
      <c r="C72" s="224" t="s">
        <v>166</v>
      </c>
      <c r="D72" s="224"/>
      <c r="E72" s="224"/>
      <c r="F72" s="224"/>
      <c r="G72" s="224"/>
      <c r="H72" s="46" t="s">
        <v>56</v>
      </c>
      <c r="I72" s="47">
        <f>2.8/100*O34</f>
        <v>2.8</v>
      </c>
      <c r="J72" s="48">
        <v>1</v>
      </c>
      <c r="K72" s="67">
        <v>2.8</v>
      </c>
      <c r="L72" s="50"/>
      <c r="M72" s="47"/>
      <c r="N72" s="50"/>
      <c r="O72" s="47"/>
      <c r="P72" s="51"/>
      <c r="Q72" s="4"/>
      <c r="R72" s="4"/>
      <c r="S72" s="4"/>
      <c r="T72" s="4"/>
      <c r="U72" s="4"/>
      <c r="V72" s="4"/>
      <c r="W72" s="4"/>
      <c r="X72" s="4"/>
      <c r="Y72" s="4"/>
      <c r="Z72" s="4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43"/>
      <c r="AN72" s="43"/>
      <c r="AO72" s="43" t="s">
        <v>166</v>
      </c>
      <c r="AP72" s="43"/>
      <c r="AQ72" s="8"/>
      <c r="AR72" s="43"/>
      <c r="AS72" s="8"/>
      <c r="AT72" s="8"/>
      <c r="AU72" s="8"/>
      <c r="AV72" s="8"/>
      <c r="AW72" s="8"/>
      <c r="AX72" s="8"/>
      <c r="AY72" s="8"/>
      <c r="AZ72" s="8"/>
      <c r="BA72" s="8"/>
    </row>
    <row r="73" spans="1:53" s="22" customFormat="1" ht="15" x14ac:dyDescent="0.25">
      <c r="A73" s="52"/>
      <c r="B73" s="53"/>
      <c r="C73" s="222" t="s">
        <v>57</v>
      </c>
      <c r="D73" s="222"/>
      <c r="E73" s="222"/>
      <c r="F73" s="222"/>
      <c r="G73" s="222"/>
      <c r="H73" s="46"/>
      <c r="I73" s="47"/>
      <c r="J73" s="47"/>
      <c r="K73" s="47"/>
      <c r="L73" s="50"/>
      <c r="M73" s="47"/>
      <c r="N73" s="54"/>
      <c r="O73" s="47"/>
      <c r="P73" s="55">
        <f>16465/100*O34</f>
        <v>16465</v>
      </c>
      <c r="Q73" s="56"/>
      <c r="R73" s="56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43"/>
      <c r="AN73" s="43"/>
      <c r="AO73" s="43"/>
      <c r="AP73" s="43" t="s">
        <v>57</v>
      </c>
      <c r="AQ73" s="8"/>
      <c r="AR73" s="43"/>
      <c r="AS73" s="8"/>
      <c r="AT73" s="8"/>
      <c r="AU73" s="8"/>
      <c r="AV73" s="8"/>
      <c r="AW73" s="8"/>
      <c r="AX73" s="8"/>
      <c r="AY73" s="8"/>
      <c r="AZ73" s="8"/>
      <c r="BA73" s="8"/>
    </row>
    <row r="74" spans="1:53" s="22" customFormat="1" ht="15" x14ac:dyDescent="0.25">
      <c r="A74" s="57"/>
      <c r="B74" s="58"/>
      <c r="C74" s="223" t="s">
        <v>58</v>
      </c>
      <c r="D74" s="223"/>
      <c r="E74" s="223"/>
      <c r="F74" s="223"/>
      <c r="G74" s="223"/>
      <c r="H74" s="59"/>
      <c r="I74" s="60"/>
      <c r="J74" s="60"/>
      <c r="K74" s="60"/>
      <c r="L74" s="61"/>
      <c r="M74" s="60"/>
      <c r="N74" s="61"/>
      <c r="O74" s="60"/>
      <c r="P74" s="62">
        <f>13862/100*O34</f>
        <v>13862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43"/>
      <c r="AN74" s="43"/>
      <c r="AO74" s="43"/>
      <c r="AP74" s="43"/>
      <c r="AQ74" s="8" t="s">
        <v>58</v>
      </c>
      <c r="AR74" s="43"/>
      <c r="AS74" s="8"/>
      <c r="AT74" s="8"/>
      <c r="AU74" s="8"/>
      <c r="AV74" s="8"/>
      <c r="AW74" s="8"/>
      <c r="AX74" s="8"/>
      <c r="AY74" s="8"/>
      <c r="AZ74" s="8"/>
      <c r="BA74" s="8"/>
    </row>
    <row r="75" spans="1:53" s="22" customFormat="1" ht="23.25" x14ac:dyDescent="0.25">
      <c r="A75" s="57"/>
      <c r="B75" s="58" t="s">
        <v>73</v>
      </c>
      <c r="C75" s="223" t="s">
        <v>74</v>
      </c>
      <c r="D75" s="223"/>
      <c r="E75" s="223"/>
      <c r="F75" s="223"/>
      <c r="G75" s="223"/>
      <c r="H75" s="59" t="s">
        <v>61</v>
      </c>
      <c r="I75" s="63">
        <v>92</v>
      </c>
      <c r="J75" s="60"/>
      <c r="K75" s="63">
        <v>92</v>
      </c>
      <c r="L75" s="61"/>
      <c r="M75" s="60"/>
      <c r="N75" s="61"/>
      <c r="O75" s="60"/>
      <c r="P75" s="95">
        <f>P74*K75%</f>
        <v>12753.04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43"/>
      <c r="AN75" s="43"/>
      <c r="AO75" s="43"/>
      <c r="AP75" s="43"/>
      <c r="AQ75" s="8" t="s">
        <v>74</v>
      </c>
      <c r="AR75" s="43"/>
      <c r="AS75" s="8"/>
      <c r="AT75" s="8"/>
      <c r="AU75" s="8"/>
      <c r="AV75" s="8"/>
      <c r="AW75" s="8"/>
      <c r="AX75" s="8"/>
      <c r="AY75" s="8"/>
      <c r="AZ75" s="8"/>
      <c r="BA75" s="8"/>
    </row>
    <row r="76" spans="1:53" s="22" customFormat="1" ht="23.25" x14ac:dyDescent="0.25">
      <c r="A76" s="57"/>
      <c r="B76" s="58" t="s">
        <v>75</v>
      </c>
      <c r="C76" s="223" t="s">
        <v>76</v>
      </c>
      <c r="D76" s="223"/>
      <c r="E76" s="223"/>
      <c r="F76" s="223"/>
      <c r="G76" s="223"/>
      <c r="H76" s="59" t="s">
        <v>61</v>
      </c>
      <c r="I76" s="63">
        <v>46</v>
      </c>
      <c r="J76" s="60"/>
      <c r="K76" s="63">
        <v>46</v>
      </c>
      <c r="L76" s="61"/>
      <c r="M76" s="60"/>
      <c r="N76" s="61"/>
      <c r="O76" s="60"/>
      <c r="P76" s="95">
        <f>P74*K76%</f>
        <v>6376.52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43"/>
      <c r="AN76" s="43"/>
      <c r="AO76" s="43"/>
      <c r="AP76" s="43"/>
      <c r="AQ76" s="8" t="s">
        <v>76</v>
      </c>
      <c r="AR76" s="43"/>
      <c r="AS76" s="8"/>
      <c r="AT76" s="8"/>
      <c r="AU76" s="8"/>
      <c r="AV76" s="8"/>
      <c r="AW76" s="8"/>
      <c r="AX76" s="8"/>
      <c r="AY76" s="8"/>
      <c r="AZ76" s="8"/>
      <c r="BA76" s="8"/>
    </row>
    <row r="77" spans="1:53" s="22" customFormat="1" ht="15" x14ac:dyDescent="0.25">
      <c r="A77" s="64"/>
      <c r="B77" s="65"/>
      <c r="C77" s="222" t="s">
        <v>64</v>
      </c>
      <c r="D77" s="222"/>
      <c r="E77" s="222"/>
      <c r="F77" s="222"/>
      <c r="G77" s="222"/>
      <c r="H77" s="46"/>
      <c r="I77" s="47"/>
      <c r="J77" s="47"/>
      <c r="K77" s="47"/>
      <c r="L77" s="50"/>
      <c r="M77" s="47"/>
      <c r="N77" s="54">
        <v>12712.5</v>
      </c>
      <c r="O77" s="47"/>
      <c r="P77" s="96">
        <f>P73+P75+P76</f>
        <v>35594.559999999998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43"/>
      <c r="AN77" s="43"/>
      <c r="AO77" s="43"/>
      <c r="AP77" s="43"/>
      <c r="AQ77" s="8"/>
      <c r="AR77" s="43" t="s">
        <v>64</v>
      </c>
      <c r="AS77" s="8"/>
      <c r="AT77" s="8"/>
      <c r="AU77" s="8"/>
      <c r="AV77" s="8"/>
      <c r="AW77" s="8"/>
      <c r="AX77" s="8"/>
      <c r="AY77" s="8"/>
      <c r="AZ77" s="8"/>
      <c r="BA77" s="8"/>
    </row>
    <row r="78" spans="1:53" s="22" customFormat="1" ht="15" x14ac:dyDescent="0.25">
      <c r="A78" s="225" t="s">
        <v>80</v>
      </c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7"/>
      <c r="Q78" s="4"/>
      <c r="R78" s="4"/>
      <c r="S78" s="4"/>
      <c r="T78" s="4"/>
      <c r="U78" s="4"/>
      <c r="V78" s="4"/>
      <c r="W78" s="4"/>
      <c r="X78" s="4"/>
      <c r="Y78" s="4"/>
      <c r="Z78" s="4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43"/>
      <c r="AN78" s="43" t="s">
        <v>80</v>
      </c>
      <c r="AO78" s="43"/>
      <c r="AP78" s="43"/>
      <c r="AQ78" s="8"/>
      <c r="AR78" s="43"/>
      <c r="AS78" s="8"/>
      <c r="AT78" s="8"/>
      <c r="AU78" s="8"/>
      <c r="AV78" s="8"/>
      <c r="AW78" s="8"/>
      <c r="AX78" s="8"/>
      <c r="AY78" s="8"/>
      <c r="AZ78" s="8"/>
      <c r="BA78" s="8"/>
    </row>
    <row r="79" spans="1:53" s="22" customFormat="1" ht="34.5" x14ac:dyDescent="0.25">
      <c r="A79" s="44" t="s">
        <v>93</v>
      </c>
      <c r="B79" s="45" t="s">
        <v>82</v>
      </c>
      <c r="C79" s="224" t="s">
        <v>83</v>
      </c>
      <c r="D79" s="224"/>
      <c r="E79" s="224"/>
      <c r="F79" s="224"/>
      <c r="G79" s="224"/>
      <c r="H79" s="46" t="s">
        <v>84</v>
      </c>
      <c r="I79" s="47">
        <f>3.3/100*O34</f>
        <v>3.3000000000000003</v>
      </c>
      <c r="J79" s="48">
        <v>1</v>
      </c>
      <c r="K79" s="67">
        <v>3.3</v>
      </c>
      <c r="L79" s="50"/>
      <c r="M79" s="47"/>
      <c r="N79" s="50"/>
      <c r="O79" s="47"/>
      <c r="P79" s="51"/>
      <c r="Q79" s="4"/>
      <c r="R79" s="4"/>
      <c r="S79" s="4"/>
      <c r="T79" s="4"/>
      <c r="U79" s="4"/>
      <c r="V79" s="4"/>
      <c r="W79" s="4"/>
      <c r="X79" s="4"/>
      <c r="Y79" s="4"/>
      <c r="Z79" s="4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43"/>
      <c r="AN79" s="43"/>
      <c r="AO79" s="43" t="s">
        <v>83</v>
      </c>
      <c r="AP79" s="43"/>
      <c r="AQ79" s="8"/>
      <c r="AR79" s="43"/>
      <c r="AS79" s="8"/>
      <c r="AT79" s="8"/>
      <c r="AU79" s="8"/>
      <c r="AV79" s="8"/>
      <c r="AW79" s="8"/>
      <c r="AX79" s="8"/>
      <c r="AY79" s="8"/>
      <c r="AZ79" s="8"/>
      <c r="BA79" s="8"/>
    </row>
    <row r="80" spans="1:53" s="22" customFormat="1" ht="15" x14ac:dyDescent="0.25">
      <c r="A80" s="52"/>
      <c r="B80" s="53"/>
      <c r="C80" s="222" t="s">
        <v>57</v>
      </c>
      <c r="D80" s="222"/>
      <c r="E80" s="222"/>
      <c r="F80" s="222"/>
      <c r="G80" s="222"/>
      <c r="H80" s="46"/>
      <c r="I80" s="47"/>
      <c r="J80" s="47"/>
      <c r="K80" s="47"/>
      <c r="L80" s="50"/>
      <c r="M80" s="47"/>
      <c r="N80" s="54"/>
      <c r="O80" s="47"/>
      <c r="P80" s="55">
        <f>40473/100*O34</f>
        <v>40473</v>
      </c>
      <c r="Q80" s="56"/>
      <c r="R80" s="56"/>
      <c r="S80" s="4"/>
      <c r="T80" s="4"/>
      <c r="U80" s="4"/>
      <c r="V80" s="4"/>
      <c r="W80" s="4"/>
      <c r="X80" s="4"/>
      <c r="Y80" s="4"/>
      <c r="Z80" s="4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43"/>
      <c r="AN80" s="43"/>
      <c r="AO80" s="43"/>
      <c r="AP80" s="43" t="s">
        <v>57</v>
      </c>
      <c r="AQ80" s="8"/>
      <c r="AR80" s="43"/>
      <c r="AS80" s="8"/>
      <c r="AT80" s="8"/>
      <c r="AU80" s="8"/>
      <c r="AV80" s="8"/>
      <c r="AW80" s="8"/>
      <c r="AX80" s="8"/>
      <c r="AY80" s="8"/>
      <c r="AZ80" s="8"/>
      <c r="BA80" s="8"/>
    </row>
    <row r="81" spans="1:53" s="22" customFormat="1" ht="15" x14ac:dyDescent="0.25">
      <c r="A81" s="57"/>
      <c r="B81" s="58"/>
      <c r="C81" s="223" t="s">
        <v>58</v>
      </c>
      <c r="D81" s="223"/>
      <c r="E81" s="223"/>
      <c r="F81" s="223"/>
      <c r="G81" s="223"/>
      <c r="H81" s="59"/>
      <c r="I81" s="60"/>
      <c r="J81" s="60"/>
      <c r="K81" s="60"/>
      <c r="L81" s="61"/>
      <c r="M81" s="60"/>
      <c r="N81" s="61"/>
      <c r="O81" s="60"/>
      <c r="P81" s="62">
        <f>40377/100*O34</f>
        <v>40377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43"/>
      <c r="AN81" s="43"/>
      <c r="AO81" s="43"/>
      <c r="AP81" s="43"/>
      <c r="AQ81" s="8" t="s">
        <v>58</v>
      </c>
      <c r="AR81" s="43"/>
      <c r="AS81" s="8"/>
      <c r="AT81" s="8"/>
      <c r="AU81" s="8"/>
      <c r="AV81" s="8"/>
      <c r="AW81" s="8"/>
      <c r="AX81" s="8"/>
      <c r="AY81" s="8"/>
      <c r="AZ81" s="8"/>
      <c r="BA81" s="8"/>
    </row>
    <row r="82" spans="1:53" s="22" customFormat="1" ht="23.25" x14ac:dyDescent="0.25">
      <c r="A82" s="57"/>
      <c r="B82" s="58" t="s">
        <v>85</v>
      </c>
      <c r="C82" s="223" t="s">
        <v>86</v>
      </c>
      <c r="D82" s="223"/>
      <c r="E82" s="223"/>
      <c r="F82" s="223"/>
      <c r="G82" s="223"/>
      <c r="H82" s="59" t="s">
        <v>61</v>
      </c>
      <c r="I82" s="63">
        <v>89</v>
      </c>
      <c r="J82" s="60"/>
      <c r="K82" s="63">
        <v>89</v>
      </c>
      <c r="L82" s="61"/>
      <c r="M82" s="60"/>
      <c r="N82" s="61"/>
      <c r="O82" s="60"/>
      <c r="P82" s="95">
        <f>P81*K82%</f>
        <v>35935.53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43"/>
      <c r="AN82" s="43"/>
      <c r="AO82" s="43"/>
      <c r="AP82" s="43"/>
      <c r="AQ82" s="8" t="s">
        <v>86</v>
      </c>
      <c r="AR82" s="43"/>
      <c r="AS82" s="8"/>
      <c r="AT82" s="8"/>
      <c r="AU82" s="8"/>
      <c r="AV82" s="8"/>
      <c r="AW82" s="8"/>
      <c r="AX82" s="8"/>
      <c r="AY82" s="8"/>
      <c r="AZ82" s="8"/>
      <c r="BA82" s="8"/>
    </row>
    <row r="83" spans="1:53" s="22" customFormat="1" ht="23.25" x14ac:dyDescent="0.25">
      <c r="A83" s="57"/>
      <c r="B83" s="58" t="s">
        <v>87</v>
      </c>
      <c r="C83" s="223" t="s">
        <v>88</v>
      </c>
      <c r="D83" s="223"/>
      <c r="E83" s="223"/>
      <c r="F83" s="223"/>
      <c r="G83" s="223"/>
      <c r="H83" s="59" t="s">
        <v>61</v>
      </c>
      <c r="I83" s="63">
        <v>41</v>
      </c>
      <c r="J83" s="60"/>
      <c r="K83" s="63">
        <v>41</v>
      </c>
      <c r="L83" s="61"/>
      <c r="M83" s="60"/>
      <c r="N83" s="61"/>
      <c r="O83" s="60"/>
      <c r="P83" s="95">
        <f>P81*K83%</f>
        <v>16554.57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43"/>
      <c r="AN83" s="43"/>
      <c r="AO83" s="43"/>
      <c r="AP83" s="43"/>
      <c r="AQ83" s="8" t="s">
        <v>88</v>
      </c>
      <c r="AR83" s="43"/>
      <c r="AS83" s="8"/>
      <c r="AT83" s="8"/>
      <c r="AU83" s="8"/>
      <c r="AV83" s="8"/>
      <c r="AW83" s="8"/>
      <c r="AX83" s="8"/>
      <c r="AY83" s="8"/>
      <c r="AZ83" s="8"/>
      <c r="BA83" s="8"/>
    </row>
    <row r="84" spans="1:53" s="22" customFormat="1" ht="15" x14ac:dyDescent="0.25">
      <c r="A84" s="64"/>
      <c r="B84" s="65"/>
      <c r="C84" s="222" t="s">
        <v>64</v>
      </c>
      <c r="D84" s="222"/>
      <c r="E84" s="222"/>
      <c r="F84" s="222"/>
      <c r="G84" s="222"/>
      <c r="H84" s="46"/>
      <c r="I84" s="47"/>
      <c r="J84" s="47"/>
      <c r="K84" s="47"/>
      <c r="L84" s="50"/>
      <c r="M84" s="47"/>
      <c r="N84" s="54">
        <v>28170.91</v>
      </c>
      <c r="O84" s="47"/>
      <c r="P84" s="96">
        <f>P80+P82+P83</f>
        <v>92963.1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43"/>
      <c r="AN84" s="43"/>
      <c r="AO84" s="43"/>
      <c r="AP84" s="43"/>
      <c r="AQ84" s="8"/>
      <c r="AR84" s="43" t="s">
        <v>64</v>
      </c>
      <c r="AS84" s="8"/>
      <c r="AT84" s="8"/>
      <c r="AU84" s="8"/>
      <c r="AV84" s="8"/>
      <c r="AW84" s="8"/>
      <c r="AX84" s="8"/>
      <c r="AY84" s="8"/>
      <c r="AZ84" s="8"/>
      <c r="BA84" s="8"/>
    </row>
    <row r="85" spans="1:53" s="22" customFormat="1" ht="15" x14ac:dyDescent="0.25">
      <c r="A85" s="44" t="s">
        <v>97</v>
      </c>
      <c r="B85" s="45" t="s">
        <v>90</v>
      </c>
      <c r="C85" s="224" t="s">
        <v>91</v>
      </c>
      <c r="D85" s="224"/>
      <c r="E85" s="224"/>
      <c r="F85" s="224"/>
      <c r="G85" s="224"/>
      <c r="H85" s="46" t="s">
        <v>92</v>
      </c>
      <c r="I85" s="47">
        <f>3.96/100*O34</f>
        <v>3.9599999999999995</v>
      </c>
      <c r="J85" s="48">
        <v>1</v>
      </c>
      <c r="K85" s="49">
        <v>3.96</v>
      </c>
      <c r="L85" s="68">
        <v>149.15</v>
      </c>
      <c r="M85" s="49">
        <v>0.96</v>
      </c>
      <c r="N85" s="68">
        <v>143.18</v>
      </c>
      <c r="O85" s="47"/>
      <c r="P85" s="96">
        <f>N85*I85</f>
        <v>566.99279999999999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43"/>
      <c r="AN85" s="43"/>
      <c r="AO85" s="43" t="s">
        <v>91</v>
      </c>
      <c r="AP85" s="43"/>
      <c r="AQ85" s="8"/>
      <c r="AR85" s="43"/>
      <c r="AS85" s="8"/>
      <c r="AT85" s="8"/>
      <c r="AU85" s="8"/>
      <c r="AV85" s="8"/>
      <c r="AW85" s="8"/>
      <c r="AX85" s="8"/>
      <c r="AY85" s="8"/>
      <c r="AZ85" s="8"/>
      <c r="BA85" s="8"/>
    </row>
    <row r="86" spans="1:53" s="22" customFormat="1" ht="15" x14ac:dyDescent="0.25">
      <c r="A86" s="64"/>
      <c r="B86" s="65"/>
      <c r="C86" s="222" t="s">
        <v>64</v>
      </c>
      <c r="D86" s="222"/>
      <c r="E86" s="222"/>
      <c r="F86" s="222"/>
      <c r="G86" s="222"/>
      <c r="H86" s="46"/>
      <c r="I86" s="47"/>
      <c r="J86" s="47"/>
      <c r="K86" s="47"/>
      <c r="L86" s="50"/>
      <c r="M86" s="47"/>
      <c r="N86" s="50"/>
      <c r="O86" s="47"/>
      <c r="P86" s="96">
        <f>P85</f>
        <v>566.99279999999999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43"/>
      <c r="AN86" s="43"/>
      <c r="AO86" s="43"/>
      <c r="AP86" s="43"/>
      <c r="AQ86" s="8"/>
      <c r="AR86" s="43" t="s">
        <v>64</v>
      </c>
      <c r="AS86" s="8"/>
      <c r="AT86" s="8"/>
      <c r="AU86" s="8"/>
      <c r="AV86" s="8"/>
      <c r="AW86" s="8"/>
      <c r="AX86" s="8"/>
      <c r="AY86" s="8"/>
      <c r="AZ86" s="8"/>
      <c r="BA86" s="8"/>
    </row>
    <row r="87" spans="1:53" s="22" customFormat="1" ht="15" x14ac:dyDescent="0.25">
      <c r="A87" s="44" t="s">
        <v>104</v>
      </c>
      <c r="B87" s="45" t="s">
        <v>94</v>
      </c>
      <c r="C87" s="224" t="s">
        <v>95</v>
      </c>
      <c r="D87" s="224"/>
      <c r="E87" s="224"/>
      <c r="F87" s="224"/>
      <c r="G87" s="224"/>
      <c r="H87" s="46" t="s">
        <v>96</v>
      </c>
      <c r="I87" s="47">
        <f>107/100*O34</f>
        <v>107</v>
      </c>
      <c r="J87" s="48">
        <v>1</v>
      </c>
      <c r="K87" s="48">
        <v>107</v>
      </c>
      <c r="L87" s="54">
        <v>1062.45</v>
      </c>
      <c r="M87" s="49">
        <v>1.03</v>
      </c>
      <c r="N87" s="54">
        <v>1094.32</v>
      </c>
      <c r="O87" s="47"/>
      <c r="P87" s="96">
        <f>N87*I87</f>
        <v>117092.23999999999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43"/>
      <c r="AN87" s="43"/>
      <c r="AO87" s="43" t="s">
        <v>95</v>
      </c>
      <c r="AP87" s="43"/>
      <c r="AQ87" s="8"/>
      <c r="AR87" s="43"/>
      <c r="AS87" s="8"/>
      <c r="AT87" s="8"/>
      <c r="AU87" s="8"/>
      <c r="AV87" s="8"/>
      <c r="AW87" s="8"/>
      <c r="AX87" s="8"/>
      <c r="AY87" s="8"/>
      <c r="AZ87" s="8"/>
      <c r="BA87" s="8"/>
    </row>
    <row r="88" spans="1:53" s="22" customFormat="1" ht="15" x14ac:dyDescent="0.25">
      <c r="A88" s="64"/>
      <c r="B88" s="65"/>
      <c r="C88" s="222" t="s">
        <v>64</v>
      </c>
      <c r="D88" s="222"/>
      <c r="E88" s="222"/>
      <c r="F88" s="222"/>
      <c r="G88" s="222"/>
      <c r="H88" s="46"/>
      <c r="I88" s="47"/>
      <c r="J88" s="47"/>
      <c r="K88" s="47"/>
      <c r="L88" s="50"/>
      <c r="M88" s="47"/>
      <c r="N88" s="50"/>
      <c r="O88" s="47"/>
      <c r="P88" s="96">
        <f>P87</f>
        <v>117092.23999999999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43"/>
      <c r="AN88" s="43"/>
      <c r="AO88" s="43"/>
      <c r="AP88" s="43"/>
      <c r="AQ88" s="8"/>
      <c r="AR88" s="43" t="s">
        <v>64</v>
      </c>
      <c r="AS88" s="8"/>
      <c r="AT88" s="8"/>
      <c r="AU88" s="8"/>
      <c r="AV88" s="8"/>
      <c r="AW88" s="8"/>
      <c r="AX88" s="8"/>
      <c r="AY88" s="8"/>
      <c r="AZ88" s="8"/>
      <c r="BA88" s="8"/>
    </row>
    <row r="89" spans="1:53" s="22" customFormat="1" ht="34.5" x14ac:dyDescent="0.25">
      <c r="A89" s="44" t="s">
        <v>108</v>
      </c>
      <c r="B89" s="45" t="s">
        <v>98</v>
      </c>
      <c r="C89" s="224" t="s">
        <v>99</v>
      </c>
      <c r="D89" s="224"/>
      <c r="E89" s="224"/>
      <c r="F89" s="224"/>
      <c r="G89" s="224"/>
      <c r="H89" s="46" t="s">
        <v>72</v>
      </c>
      <c r="I89" s="47">
        <f>0.81/100*O34</f>
        <v>0.81000000000000016</v>
      </c>
      <c r="J89" s="48">
        <v>1</v>
      </c>
      <c r="K89" s="49">
        <v>0.81</v>
      </c>
      <c r="L89" s="50"/>
      <c r="M89" s="47"/>
      <c r="N89" s="50"/>
      <c r="O89" s="47"/>
      <c r="P89" s="51"/>
      <c r="Q89" s="4"/>
      <c r="R89" s="4"/>
      <c r="S89" s="4"/>
      <c r="T89" s="4"/>
      <c r="U89" s="4"/>
      <c r="V89" s="4"/>
      <c r="W89" s="4"/>
      <c r="X89" s="4"/>
      <c r="Y89" s="4"/>
      <c r="Z89" s="4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43"/>
      <c r="AN89" s="43"/>
      <c r="AO89" s="43" t="s">
        <v>99</v>
      </c>
      <c r="AP89" s="43"/>
      <c r="AQ89" s="8"/>
      <c r="AR89" s="43"/>
      <c r="AS89" s="8"/>
      <c r="AT89" s="8"/>
      <c r="AU89" s="8"/>
      <c r="AV89" s="8"/>
      <c r="AW89" s="8"/>
      <c r="AX89" s="8"/>
      <c r="AY89" s="8"/>
      <c r="AZ89" s="8"/>
      <c r="BA89" s="8"/>
    </row>
    <row r="90" spans="1:53" s="22" customFormat="1" ht="15" x14ac:dyDescent="0.25">
      <c r="A90" s="52"/>
      <c r="B90" s="53"/>
      <c r="C90" s="222" t="s">
        <v>57</v>
      </c>
      <c r="D90" s="222"/>
      <c r="E90" s="222"/>
      <c r="F90" s="222"/>
      <c r="G90" s="222"/>
      <c r="H90" s="46"/>
      <c r="I90" s="47"/>
      <c r="J90" s="47"/>
      <c r="K90" s="47"/>
      <c r="L90" s="50"/>
      <c r="M90" s="47"/>
      <c r="N90" s="54"/>
      <c r="O90" s="47"/>
      <c r="P90" s="55">
        <f>12548/100*O34</f>
        <v>12548</v>
      </c>
      <c r="Q90" s="56"/>
      <c r="R90" s="56"/>
      <c r="S90" s="4"/>
      <c r="T90" s="4"/>
      <c r="U90" s="4"/>
      <c r="V90" s="4"/>
      <c r="W90" s="4"/>
      <c r="X90" s="4"/>
      <c r="Y90" s="4"/>
      <c r="Z90" s="4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43"/>
      <c r="AN90" s="43"/>
      <c r="AO90" s="43"/>
      <c r="AP90" s="43" t="s">
        <v>57</v>
      </c>
      <c r="AQ90" s="8"/>
      <c r="AR90" s="43"/>
      <c r="AS90" s="8"/>
      <c r="AT90" s="8"/>
      <c r="AU90" s="8"/>
      <c r="AV90" s="8"/>
      <c r="AW90" s="8"/>
      <c r="AX90" s="8"/>
      <c r="AY90" s="8"/>
      <c r="AZ90" s="8"/>
      <c r="BA90" s="8"/>
    </row>
    <row r="91" spans="1:53" s="22" customFormat="1" ht="15" x14ac:dyDescent="0.25">
      <c r="A91" s="57"/>
      <c r="B91" s="58"/>
      <c r="C91" s="223" t="s">
        <v>58</v>
      </c>
      <c r="D91" s="223"/>
      <c r="E91" s="223"/>
      <c r="F91" s="223"/>
      <c r="G91" s="223"/>
      <c r="H91" s="59"/>
      <c r="I91" s="60"/>
      <c r="J91" s="60"/>
      <c r="K91" s="60"/>
      <c r="L91" s="61"/>
      <c r="M91" s="60"/>
      <c r="N91" s="61"/>
      <c r="O91" s="60"/>
      <c r="P91" s="62">
        <f>12410/100*O34</f>
        <v>12410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43"/>
      <c r="AN91" s="43"/>
      <c r="AO91" s="43"/>
      <c r="AP91" s="43"/>
      <c r="AQ91" s="8" t="s">
        <v>58</v>
      </c>
      <c r="AR91" s="43"/>
      <c r="AS91" s="8"/>
      <c r="AT91" s="8"/>
      <c r="AU91" s="8"/>
      <c r="AV91" s="8"/>
      <c r="AW91" s="8"/>
      <c r="AX91" s="8"/>
      <c r="AY91" s="8"/>
      <c r="AZ91" s="8"/>
      <c r="BA91" s="8"/>
    </row>
    <row r="92" spans="1:53" s="22" customFormat="1" ht="15" x14ac:dyDescent="0.25">
      <c r="A92" s="57"/>
      <c r="B92" s="58" t="s">
        <v>100</v>
      </c>
      <c r="C92" s="223" t="s">
        <v>101</v>
      </c>
      <c r="D92" s="223"/>
      <c r="E92" s="223"/>
      <c r="F92" s="223"/>
      <c r="G92" s="223"/>
      <c r="H92" s="59" t="s">
        <v>61</v>
      </c>
      <c r="I92" s="63">
        <v>147</v>
      </c>
      <c r="J92" s="60"/>
      <c r="K92" s="63">
        <v>147</v>
      </c>
      <c r="L92" s="61"/>
      <c r="M92" s="60"/>
      <c r="N92" s="61"/>
      <c r="O92" s="60"/>
      <c r="P92" s="95">
        <f>P91*K92%</f>
        <v>18242.7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43"/>
      <c r="AN92" s="43"/>
      <c r="AO92" s="43"/>
      <c r="AP92" s="43"/>
      <c r="AQ92" s="8" t="s">
        <v>101</v>
      </c>
      <c r="AR92" s="43"/>
      <c r="AS92" s="8"/>
      <c r="AT92" s="8"/>
      <c r="AU92" s="8"/>
      <c r="AV92" s="8"/>
      <c r="AW92" s="8"/>
      <c r="AX92" s="8"/>
      <c r="AY92" s="8"/>
      <c r="AZ92" s="8"/>
      <c r="BA92" s="8"/>
    </row>
    <row r="93" spans="1:53" s="22" customFormat="1" ht="15" x14ac:dyDescent="0.25">
      <c r="A93" s="57"/>
      <c r="B93" s="58" t="s">
        <v>102</v>
      </c>
      <c r="C93" s="223" t="s">
        <v>103</v>
      </c>
      <c r="D93" s="223"/>
      <c r="E93" s="223"/>
      <c r="F93" s="223"/>
      <c r="G93" s="223"/>
      <c r="H93" s="59" t="s">
        <v>61</v>
      </c>
      <c r="I93" s="63">
        <v>134</v>
      </c>
      <c r="J93" s="60"/>
      <c r="K93" s="63">
        <v>134</v>
      </c>
      <c r="L93" s="61"/>
      <c r="M93" s="60"/>
      <c r="N93" s="61"/>
      <c r="O93" s="60"/>
      <c r="P93" s="95">
        <f>P91*K93%</f>
        <v>16629.400000000001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43"/>
      <c r="AN93" s="43"/>
      <c r="AO93" s="43"/>
      <c r="AP93" s="43"/>
      <c r="AQ93" s="8" t="s">
        <v>103</v>
      </c>
      <c r="AR93" s="43"/>
      <c r="AS93" s="8"/>
      <c r="AT93" s="8"/>
      <c r="AU93" s="8"/>
      <c r="AV93" s="8"/>
      <c r="AW93" s="8"/>
      <c r="AX93" s="8"/>
      <c r="AY93" s="8"/>
      <c r="AZ93" s="8"/>
      <c r="BA93" s="8"/>
    </row>
    <row r="94" spans="1:53" s="22" customFormat="1" ht="15" x14ac:dyDescent="0.25">
      <c r="A94" s="64"/>
      <c r="B94" s="65"/>
      <c r="C94" s="222" t="s">
        <v>64</v>
      </c>
      <c r="D94" s="222"/>
      <c r="E94" s="222"/>
      <c r="F94" s="222"/>
      <c r="G94" s="222"/>
      <c r="H94" s="46"/>
      <c r="I94" s="47"/>
      <c r="J94" s="47"/>
      <c r="K94" s="47"/>
      <c r="L94" s="50"/>
      <c r="M94" s="47"/>
      <c r="N94" s="54">
        <v>58543.21</v>
      </c>
      <c r="O94" s="47"/>
      <c r="P94" s="96">
        <f>P90+P92+P93</f>
        <v>47420.100000000006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43"/>
      <c r="AN94" s="43"/>
      <c r="AO94" s="43"/>
      <c r="AP94" s="43"/>
      <c r="AQ94" s="8"/>
      <c r="AR94" s="43" t="s">
        <v>64</v>
      </c>
      <c r="AS94" s="8"/>
      <c r="AT94" s="8"/>
      <c r="AU94" s="8"/>
      <c r="AV94" s="8"/>
      <c r="AW94" s="8"/>
      <c r="AX94" s="8"/>
      <c r="AY94" s="8"/>
      <c r="AZ94" s="8"/>
      <c r="BA94" s="8"/>
    </row>
    <row r="95" spans="1:53" s="22" customFormat="1" ht="23.25" x14ac:dyDescent="0.25">
      <c r="A95" s="44" t="s">
        <v>115</v>
      </c>
      <c r="B95" s="45" t="s">
        <v>167</v>
      </c>
      <c r="C95" s="224" t="s">
        <v>168</v>
      </c>
      <c r="D95" s="224"/>
      <c r="E95" s="224"/>
      <c r="F95" s="224"/>
      <c r="G95" s="224"/>
      <c r="H95" s="46" t="s">
        <v>107</v>
      </c>
      <c r="I95" s="47">
        <f>972/100*O34</f>
        <v>972.00000000000011</v>
      </c>
      <c r="J95" s="48">
        <v>1</v>
      </c>
      <c r="K95" s="48">
        <v>972</v>
      </c>
      <c r="L95" s="68">
        <v>25</v>
      </c>
      <c r="M95" s="49">
        <v>1.07</v>
      </c>
      <c r="N95" s="68">
        <v>26.75</v>
      </c>
      <c r="O95" s="47"/>
      <c r="P95" s="96">
        <f>N95*I95</f>
        <v>26001.000000000004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43"/>
      <c r="AN95" s="43"/>
      <c r="AO95" s="43" t="s">
        <v>168</v>
      </c>
      <c r="AP95" s="43"/>
      <c r="AQ95" s="8"/>
      <c r="AR95" s="43"/>
      <c r="AS95" s="8"/>
      <c r="AT95" s="8"/>
      <c r="AU95" s="8"/>
      <c r="AV95" s="8"/>
      <c r="AW95" s="8"/>
      <c r="AX95" s="8"/>
      <c r="AY95" s="8"/>
      <c r="AZ95" s="8"/>
      <c r="BA95" s="8"/>
    </row>
    <row r="96" spans="1:53" s="22" customFormat="1" ht="15" x14ac:dyDescent="0.25">
      <c r="A96" s="64"/>
      <c r="B96" s="65"/>
      <c r="C96" s="222" t="s">
        <v>64</v>
      </c>
      <c r="D96" s="222"/>
      <c r="E96" s="222"/>
      <c r="F96" s="222"/>
      <c r="G96" s="222"/>
      <c r="H96" s="46"/>
      <c r="I96" s="47"/>
      <c r="J96" s="47"/>
      <c r="K96" s="47"/>
      <c r="L96" s="50"/>
      <c r="M96" s="47"/>
      <c r="N96" s="50"/>
      <c r="O96" s="47"/>
      <c r="P96" s="96">
        <f>P95</f>
        <v>26001.000000000004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43"/>
      <c r="AN96" s="43"/>
      <c r="AO96" s="43"/>
      <c r="AP96" s="43"/>
      <c r="AQ96" s="8"/>
      <c r="AR96" s="43" t="s">
        <v>64</v>
      </c>
      <c r="AS96" s="8"/>
      <c r="AT96" s="8"/>
      <c r="AU96" s="8"/>
      <c r="AV96" s="8"/>
      <c r="AW96" s="8"/>
      <c r="AX96" s="8"/>
      <c r="AY96" s="8"/>
      <c r="AZ96" s="8"/>
      <c r="BA96" s="8"/>
    </row>
    <row r="97" spans="1:53" s="22" customFormat="1" ht="15" x14ac:dyDescent="0.25">
      <c r="A97" s="44" t="s">
        <v>119</v>
      </c>
      <c r="B97" s="45" t="s">
        <v>131</v>
      </c>
      <c r="C97" s="224" t="s">
        <v>169</v>
      </c>
      <c r="D97" s="224"/>
      <c r="E97" s="224"/>
      <c r="F97" s="224"/>
      <c r="G97" s="224"/>
      <c r="H97" s="46" t="s">
        <v>96</v>
      </c>
      <c r="I97" s="47">
        <f>8/100*O34</f>
        <v>8</v>
      </c>
      <c r="J97" s="48">
        <v>1</v>
      </c>
      <c r="K97" s="48">
        <v>8</v>
      </c>
      <c r="L97" s="50"/>
      <c r="M97" s="47"/>
      <c r="N97" s="50"/>
      <c r="O97" s="47"/>
      <c r="P97" s="51"/>
      <c r="Q97" s="4"/>
      <c r="R97" s="4"/>
      <c r="S97" s="4"/>
      <c r="T97" s="4"/>
      <c r="U97" s="4"/>
      <c r="V97" s="4"/>
      <c r="W97" s="4"/>
      <c r="X97" s="4"/>
      <c r="Y97" s="4"/>
      <c r="Z97" s="4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43"/>
      <c r="AN97" s="43"/>
      <c r="AO97" s="43" t="s">
        <v>169</v>
      </c>
      <c r="AP97" s="43"/>
      <c r="AQ97" s="8"/>
      <c r="AR97" s="43"/>
      <c r="AS97" s="8"/>
      <c r="AT97" s="8"/>
      <c r="AU97" s="8"/>
      <c r="AV97" s="8"/>
      <c r="AW97" s="8"/>
      <c r="AX97" s="8"/>
      <c r="AY97" s="8"/>
      <c r="AZ97" s="8"/>
      <c r="BA97" s="8"/>
    </row>
    <row r="98" spans="1:53" s="22" customFormat="1" ht="15" x14ac:dyDescent="0.25">
      <c r="A98" s="52"/>
      <c r="B98" s="53"/>
      <c r="C98" s="222" t="s">
        <v>57</v>
      </c>
      <c r="D98" s="222"/>
      <c r="E98" s="222"/>
      <c r="F98" s="222"/>
      <c r="G98" s="222"/>
      <c r="H98" s="46"/>
      <c r="I98" s="47"/>
      <c r="J98" s="47"/>
      <c r="K98" s="47"/>
      <c r="L98" s="50"/>
      <c r="M98" s="47"/>
      <c r="N98" s="54"/>
      <c r="O98" s="47"/>
      <c r="P98" s="55">
        <f>3294/100*O34</f>
        <v>3294</v>
      </c>
      <c r="Q98" s="56"/>
      <c r="R98" s="56"/>
      <c r="S98" s="4"/>
      <c r="T98" s="4"/>
      <c r="U98" s="4"/>
      <c r="V98" s="4"/>
      <c r="W98" s="4"/>
      <c r="X98" s="4"/>
      <c r="Y98" s="4"/>
      <c r="Z98" s="4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43"/>
      <c r="AN98" s="43"/>
      <c r="AO98" s="43"/>
      <c r="AP98" s="43" t="s">
        <v>57</v>
      </c>
      <c r="AQ98" s="8"/>
      <c r="AR98" s="43"/>
      <c r="AS98" s="8"/>
      <c r="AT98" s="8"/>
      <c r="AU98" s="8"/>
      <c r="AV98" s="8"/>
      <c r="AW98" s="8"/>
      <c r="AX98" s="8"/>
      <c r="AY98" s="8"/>
      <c r="AZ98" s="8"/>
      <c r="BA98" s="8"/>
    </row>
    <row r="99" spans="1:53" s="22" customFormat="1" ht="15" x14ac:dyDescent="0.25">
      <c r="A99" s="57"/>
      <c r="B99" s="58"/>
      <c r="C99" s="223" t="s">
        <v>58</v>
      </c>
      <c r="D99" s="223"/>
      <c r="E99" s="223"/>
      <c r="F99" s="223"/>
      <c r="G99" s="223"/>
      <c r="H99" s="59"/>
      <c r="I99" s="60"/>
      <c r="J99" s="60"/>
      <c r="K99" s="60"/>
      <c r="L99" s="61"/>
      <c r="M99" s="60"/>
      <c r="N99" s="61"/>
      <c r="O99" s="60"/>
      <c r="P99" s="62">
        <f>2506/100*O34</f>
        <v>2506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43"/>
      <c r="AN99" s="43"/>
      <c r="AO99" s="43"/>
      <c r="AP99" s="43"/>
      <c r="AQ99" s="8" t="s">
        <v>58</v>
      </c>
      <c r="AR99" s="43"/>
      <c r="AS99" s="8"/>
      <c r="AT99" s="8"/>
      <c r="AU99" s="8"/>
      <c r="AV99" s="8"/>
      <c r="AW99" s="8"/>
      <c r="AX99" s="8"/>
      <c r="AY99" s="8"/>
      <c r="AZ99" s="8"/>
      <c r="BA99" s="8"/>
    </row>
    <row r="100" spans="1:53" s="22" customFormat="1" ht="15" x14ac:dyDescent="0.25">
      <c r="A100" s="57"/>
      <c r="B100" s="58" t="s">
        <v>133</v>
      </c>
      <c r="C100" s="223" t="s">
        <v>134</v>
      </c>
      <c r="D100" s="223"/>
      <c r="E100" s="223"/>
      <c r="F100" s="223"/>
      <c r="G100" s="223"/>
      <c r="H100" s="59" t="s">
        <v>61</v>
      </c>
      <c r="I100" s="63">
        <v>110</v>
      </c>
      <c r="J100" s="60"/>
      <c r="K100" s="63">
        <v>110</v>
      </c>
      <c r="L100" s="61"/>
      <c r="M100" s="60"/>
      <c r="N100" s="61"/>
      <c r="O100" s="60"/>
      <c r="P100" s="95">
        <f>P99*K100%</f>
        <v>2756.6000000000004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43"/>
      <c r="AN100" s="43"/>
      <c r="AO100" s="43"/>
      <c r="AP100" s="43"/>
      <c r="AQ100" s="8" t="s">
        <v>134</v>
      </c>
      <c r="AR100" s="43"/>
      <c r="AS100" s="8"/>
      <c r="AT100" s="8"/>
      <c r="AU100" s="8"/>
      <c r="AV100" s="8"/>
      <c r="AW100" s="8"/>
      <c r="AX100" s="8"/>
      <c r="AY100" s="8"/>
      <c r="AZ100" s="8"/>
      <c r="BA100" s="8"/>
    </row>
    <row r="101" spans="1:53" s="22" customFormat="1" ht="15" x14ac:dyDescent="0.25">
      <c r="A101" s="57"/>
      <c r="B101" s="58" t="s">
        <v>135</v>
      </c>
      <c r="C101" s="223" t="s">
        <v>136</v>
      </c>
      <c r="D101" s="223"/>
      <c r="E101" s="223"/>
      <c r="F101" s="223"/>
      <c r="G101" s="223"/>
      <c r="H101" s="59" t="s">
        <v>61</v>
      </c>
      <c r="I101" s="63">
        <v>69</v>
      </c>
      <c r="J101" s="60"/>
      <c r="K101" s="63">
        <v>69</v>
      </c>
      <c r="L101" s="61"/>
      <c r="M101" s="60"/>
      <c r="N101" s="61"/>
      <c r="O101" s="60"/>
      <c r="P101" s="95">
        <f>P99*K101%</f>
        <v>1729.1399999999999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43"/>
      <c r="AN101" s="43"/>
      <c r="AO101" s="43"/>
      <c r="AP101" s="43"/>
      <c r="AQ101" s="8" t="s">
        <v>136</v>
      </c>
      <c r="AR101" s="43"/>
      <c r="AS101" s="8"/>
      <c r="AT101" s="8"/>
      <c r="AU101" s="8"/>
      <c r="AV101" s="8"/>
      <c r="AW101" s="8"/>
      <c r="AX101" s="8"/>
      <c r="AY101" s="8"/>
      <c r="AZ101" s="8"/>
      <c r="BA101" s="8"/>
    </row>
    <row r="102" spans="1:53" s="22" customFormat="1" ht="15" x14ac:dyDescent="0.25">
      <c r="A102" s="64"/>
      <c r="B102" s="65"/>
      <c r="C102" s="222" t="s">
        <v>64</v>
      </c>
      <c r="D102" s="222"/>
      <c r="E102" s="222"/>
      <c r="F102" s="222"/>
      <c r="G102" s="222"/>
      <c r="H102" s="46"/>
      <c r="I102" s="47"/>
      <c r="J102" s="47"/>
      <c r="K102" s="47"/>
      <c r="L102" s="50"/>
      <c r="M102" s="47"/>
      <c r="N102" s="68">
        <v>972.5</v>
      </c>
      <c r="O102" s="47"/>
      <c r="P102" s="96">
        <f>P98+P100+P101</f>
        <v>7779.74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43"/>
      <c r="AN102" s="43"/>
      <c r="AO102" s="43"/>
      <c r="AP102" s="43"/>
      <c r="AQ102" s="8"/>
      <c r="AR102" s="43" t="s">
        <v>64</v>
      </c>
      <c r="AS102" s="8"/>
      <c r="AT102" s="8"/>
      <c r="AU102" s="8"/>
      <c r="AV102" s="8"/>
      <c r="AW102" s="8"/>
      <c r="AX102" s="8"/>
      <c r="AY102" s="8"/>
      <c r="AZ102" s="8"/>
      <c r="BA102" s="8"/>
    </row>
    <row r="103" spans="1:53" s="22" customFormat="1" ht="23.25" x14ac:dyDescent="0.25">
      <c r="A103" s="44" t="s">
        <v>127</v>
      </c>
      <c r="B103" s="45" t="s">
        <v>170</v>
      </c>
      <c r="C103" s="224" t="s">
        <v>171</v>
      </c>
      <c r="D103" s="224"/>
      <c r="E103" s="224"/>
      <c r="F103" s="224"/>
      <c r="G103" s="224"/>
      <c r="H103" s="46" t="s">
        <v>96</v>
      </c>
      <c r="I103" s="47">
        <f>9.2/100*O34</f>
        <v>9.1999999999999993</v>
      </c>
      <c r="J103" s="48">
        <v>1</v>
      </c>
      <c r="K103" s="67">
        <v>9.1999999999999993</v>
      </c>
      <c r="L103" s="54">
        <v>1892.9</v>
      </c>
      <c r="M103" s="49">
        <v>1.25</v>
      </c>
      <c r="N103" s="54">
        <v>2366.13</v>
      </c>
      <c r="O103" s="47"/>
      <c r="P103" s="96">
        <f>N103*I103</f>
        <v>21768.396000000001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43"/>
      <c r="AN103" s="43"/>
      <c r="AO103" s="43" t="s">
        <v>171</v>
      </c>
      <c r="AP103" s="43"/>
      <c r="AQ103" s="8"/>
      <c r="AR103" s="43"/>
      <c r="AS103" s="8"/>
      <c r="AT103" s="8"/>
      <c r="AU103" s="8"/>
      <c r="AV103" s="8"/>
      <c r="AW103" s="8"/>
      <c r="AX103" s="8"/>
      <c r="AY103" s="8"/>
      <c r="AZ103" s="8"/>
      <c r="BA103" s="8"/>
    </row>
    <row r="104" spans="1:53" s="22" customFormat="1" ht="15" x14ac:dyDescent="0.25">
      <c r="A104" s="64"/>
      <c r="B104" s="65"/>
      <c r="C104" s="222" t="s">
        <v>64</v>
      </c>
      <c r="D104" s="222"/>
      <c r="E104" s="222"/>
      <c r="F104" s="222"/>
      <c r="G104" s="222"/>
      <c r="H104" s="46"/>
      <c r="I104" s="47"/>
      <c r="J104" s="47"/>
      <c r="K104" s="47"/>
      <c r="L104" s="50"/>
      <c r="M104" s="47"/>
      <c r="N104" s="50"/>
      <c r="O104" s="47"/>
      <c r="P104" s="96">
        <f>P103</f>
        <v>21768.396000000001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43"/>
      <c r="AN104" s="43"/>
      <c r="AO104" s="43"/>
      <c r="AP104" s="43"/>
      <c r="AQ104" s="8"/>
      <c r="AR104" s="43" t="s">
        <v>64</v>
      </c>
      <c r="AS104" s="8"/>
      <c r="AT104" s="8"/>
      <c r="AU104" s="8"/>
      <c r="AV104" s="8"/>
      <c r="AW104" s="8"/>
      <c r="AX104" s="8"/>
      <c r="AY104" s="8"/>
      <c r="AZ104" s="8"/>
      <c r="BA104" s="8"/>
    </row>
    <row r="105" spans="1:53" s="22" customFormat="1" ht="34.5" x14ac:dyDescent="0.25">
      <c r="A105" s="44" t="s">
        <v>130</v>
      </c>
      <c r="B105" s="45" t="s">
        <v>172</v>
      </c>
      <c r="C105" s="224" t="s">
        <v>173</v>
      </c>
      <c r="D105" s="224"/>
      <c r="E105" s="224"/>
      <c r="F105" s="224"/>
      <c r="G105" s="224"/>
      <c r="H105" s="46" t="s">
        <v>56</v>
      </c>
      <c r="I105" s="47">
        <f>0.2/100*O34</f>
        <v>0.2</v>
      </c>
      <c r="J105" s="48">
        <v>1</v>
      </c>
      <c r="K105" s="67">
        <v>0.2</v>
      </c>
      <c r="L105" s="50"/>
      <c r="M105" s="47"/>
      <c r="N105" s="50"/>
      <c r="O105" s="47"/>
      <c r="P105" s="51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43"/>
      <c r="AN105" s="43"/>
      <c r="AO105" s="43" t="s">
        <v>173</v>
      </c>
      <c r="AP105" s="43"/>
      <c r="AQ105" s="8"/>
      <c r="AR105" s="43"/>
      <c r="AS105" s="8"/>
      <c r="AT105" s="8"/>
      <c r="AU105" s="8"/>
      <c r="AV105" s="8"/>
      <c r="AW105" s="8"/>
      <c r="AX105" s="8"/>
      <c r="AY105" s="8"/>
      <c r="AZ105" s="8"/>
      <c r="BA105" s="8"/>
    </row>
    <row r="106" spans="1:53" s="22" customFormat="1" ht="15" x14ac:dyDescent="0.25">
      <c r="A106" s="52"/>
      <c r="B106" s="53"/>
      <c r="C106" s="222" t="s">
        <v>57</v>
      </c>
      <c r="D106" s="222"/>
      <c r="E106" s="222"/>
      <c r="F106" s="222"/>
      <c r="G106" s="222"/>
      <c r="H106" s="46"/>
      <c r="I106" s="47"/>
      <c r="J106" s="47"/>
      <c r="K106" s="47"/>
      <c r="L106" s="50"/>
      <c r="M106" s="47"/>
      <c r="N106" s="54"/>
      <c r="O106" s="47"/>
      <c r="P106" s="55">
        <f>32417/100*O34</f>
        <v>32417</v>
      </c>
      <c r="Q106" s="56"/>
      <c r="R106" s="56"/>
      <c r="S106" s="4"/>
      <c r="T106" s="4"/>
      <c r="U106" s="4"/>
      <c r="V106" s="4"/>
      <c r="W106" s="4"/>
      <c r="X106" s="4"/>
      <c r="Y106" s="4"/>
      <c r="Z106" s="4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43"/>
      <c r="AN106" s="43"/>
      <c r="AO106" s="43"/>
      <c r="AP106" s="43" t="s">
        <v>57</v>
      </c>
      <c r="AQ106" s="8"/>
      <c r="AR106" s="43"/>
      <c r="AS106" s="8"/>
      <c r="AT106" s="8"/>
      <c r="AU106" s="8"/>
      <c r="AV106" s="8"/>
      <c r="AW106" s="8"/>
      <c r="AX106" s="8"/>
      <c r="AY106" s="8"/>
      <c r="AZ106" s="8"/>
      <c r="BA106" s="8"/>
    </row>
    <row r="107" spans="1:53" s="22" customFormat="1" ht="15" x14ac:dyDescent="0.25">
      <c r="A107" s="57"/>
      <c r="B107" s="58"/>
      <c r="C107" s="223" t="s">
        <v>58</v>
      </c>
      <c r="D107" s="223"/>
      <c r="E107" s="223"/>
      <c r="F107" s="223"/>
      <c r="G107" s="223"/>
      <c r="H107" s="59"/>
      <c r="I107" s="60"/>
      <c r="J107" s="60"/>
      <c r="K107" s="60"/>
      <c r="L107" s="61"/>
      <c r="M107" s="60"/>
      <c r="N107" s="61"/>
      <c r="O107" s="60"/>
      <c r="P107" s="62">
        <f>24790/100*O34</f>
        <v>24790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43"/>
      <c r="AN107" s="43"/>
      <c r="AO107" s="43"/>
      <c r="AP107" s="43"/>
      <c r="AQ107" s="8" t="s">
        <v>58</v>
      </c>
      <c r="AR107" s="43"/>
      <c r="AS107" s="8"/>
      <c r="AT107" s="8"/>
      <c r="AU107" s="8"/>
      <c r="AV107" s="8"/>
      <c r="AW107" s="8"/>
      <c r="AX107" s="8"/>
      <c r="AY107" s="8"/>
      <c r="AZ107" s="8"/>
      <c r="BA107" s="8"/>
    </row>
    <row r="108" spans="1:53" s="22" customFormat="1" ht="23.25" x14ac:dyDescent="0.25">
      <c r="A108" s="57"/>
      <c r="B108" s="58" t="s">
        <v>174</v>
      </c>
      <c r="C108" s="223" t="s">
        <v>175</v>
      </c>
      <c r="D108" s="223"/>
      <c r="E108" s="223"/>
      <c r="F108" s="223"/>
      <c r="G108" s="223"/>
      <c r="H108" s="59" t="s">
        <v>61</v>
      </c>
      <c r="I108" s="63">
        <v>102</v>
      </c>
      <c r="J108" s="60"/>
      <c r="K108" s="63">
        <v>102</v>
      </c>
      <c r="L108" s="61"/>
      <c r="M108" s="60"/>
      <c r="N108" s="61"/>
      <c r="O108" s="60"/>
      <c r="P108" s="95">
        <f>P107*K108%</f>
        <v>25285.8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43"/>
      <c r="AN108" s="43"/>
      <c r="AO108" s="43"/>
      <c r="AP108" s="43"/>
      <c r="AQ108" s="8" t="s">
        <v>175</v>
      </c>
      <c r="AR108" s="43"/>
      <c r="AS108" s="8"/>
      <c r="AT108" s="8"/>
      <c r="AU108" s="8"/>
      <c r="AV108" s="8"/>
      <c r="AW108" s="8"/>
      <c r="AX108" s="8"/>
      <c r="AY108" s="8"/>
      <c r="AZ108" s="8"/>
      <c r="BA108" s="8"/>
    </row>
    <row r="109" spans="1:53" s="22" customFormat="1" ht="23.25" x14ac:dyDescent="0.25">
      <c r="A109" s="57"/>
      <c r="B109" s="58" t="s">
        <v>176</v>
      </c>
      <c r="C109" s="223" t="s">
        <v>177</v>
      </c>
      <c r="D109" s="223"/>
      <c r="E109" s="223"/>
      <c r="F109" s="223"/>
      <c r="G109" s="223"/>
      <c r="H109" s="59" t="s">
        <v>61</v>
      </c>
      <c r="I109" s="63">
        <v>58</v>
      </c>
      <c r="J109" s="60"/>
      <c r="K109" s="63">
        <v>58</v>
      </c>
      <c r="L109" s="61"/>
      <c r="M109" s="60"/>
      <c r="N109" s="61"/>
      <c r="O109" s="60"/>
      <c r="P109" s="95">
        <f>P107*K109%</f>
        <v>14378.199999999999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43"/>
      <c r="AN109" s="43"/>
      <c r="AO109" s="43"/>
      <c r="AP109" s="43"/>
      <c r="AQ109" s="8" t="s">
        <v>177</v>
      </c>
      <c r="AR109" s="43"/>
      <c r="AS109" s="8"/>
      <c r="AT109" s="8"/>
      <c r="AU109" s="8"/>
      <c r="AV109" s="8"/>
      <c r="AW109" s="8"/>
      <c r="AX109" s="8"/>
      <c r="AY109" s="8"/>
      <c r="AZ109" s="8"/>
      <c r="BA109" s="8"/>
    </row>
    <row r="110" spans="1:53" s="22" customFormat="1" ht="15" x14ac:dyDescent="0.25">
      <c r="A110" s="64"/>
      <c r="B110" s="65"/>
      <c r="C110" s="222" t="s">
        <v>64</v>
      </c>
      <c r="D110" s="222"/>
      <c r="E110" s="222"/>
      <c r="F110" s="222"/>
      <c r="G110" s="222"/>
      <c r="H110" s="46"/>
      <c r="I110" s="47"/>
      <c r="J110" s="47"/>
      <c r="K110" s="47"/>
      <c r="L110" s="50"/>
      <c r="M110" s="47"/>
      <c r="N110" s="54">
        <v>360405</v>
      </c>
      <c r="O110" s="47"/>
      <c r="P110" s="96">
        <f>P106+P108+P109</f>
        <v>72081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43"/>
      <c r="AN110" s="43"/>
      <c r="AO110" s="43"/>
      <c r="AP110" s="43"/>
      <c r="AQ110" s="8"/>
      <c r="AR110" s="43" t="s">
        <v>64</v>
      </c>
      <c r="AS110" s="8"/>
      <c r="AT110" s="8"/>
      <c r="AU110" s="8"/>
      <c r="AV110" s="8"/>
      <c r="AW110" s="8"/>
      <c r="AX110" s="8"/>
      <c r="AY110" s="8"/>
      <c r="AZ110" s="8"/>
      <c r="BA110" s="8"/>
    </row>
    <row r="111" spans="1:53" s="22" customFormat="1" ht="15" x14ac:dyDescent="0.25">
      <c r="A111" s="44" t="s">
        <v>137</v>
      </c>
      <c r="B111" s="45" t="s">
        <v>178</v>
      </c>
      <c r="C111" s="224" t="s">
        <v>179</v>
      </c>
      <c r="D111" s="224"/>
      <c r="E111" s="224"/>
      <c r="F111" s="224"/>
      <c r="G111" s="224"/>
      <c r="H111" s="46" t="s">
        <v>96</v>
      </c>
      <c r="I111" s="47">
        <f>20.4/100*O34</f>
        <v>20.399999999999999</v>
      </c>
      <c r="J111" s="48">
        <v>1</v>
      </c>
      <c r="K111" s="67">
        <v>20.399999999999999</v>
      </c>
      <c r="L111" s="50"/>
      <c r="M111" s="47"/>
      <c r="N111" s="54">
        <v>6267.36</v>
      </c>
      <c r="O111" s="47"/>
      <c r="P111" s="96">
        <f>N111*I111</f>
        <v>127854.14399999999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43"/>
      <c r="AN111" s="43"/>
      <c r="AO111" s="43" t="s">
        <v>179</v>
      </c>
      <c r="AP111" s="43"/>
      <c r="AQ111" s="8"/>
      <c r="AR111" s="43"/>
      <c r="AS111" s="8"/>
      <c r="AT111" s="8"/>
      <c r="AU111" s="8"/>
      <c r="AV111" s="8"/>
      <c r="AW111" s="8"/>
      <c r="AX111" s="8"/>
      <c r="AY111" s="8"/>
      <c r="AZ111" s="8"/>
      <c r="BA111" s="8"/>
    </row>
    <row r="112" spans="1:53" s="22" customFormat="1" ht="15" x14ac:dyDescent="0.25">
      <c r="A112" s="64"/>
      <c r="B112" s="65"/>
      <c r="C112" s="222" t="s">
        <v>64</v>
      </c>
      <c r="D112" s="222"/>
      <c r="E112" s="222"/>
      <c r="F112" s="222"/>
      <c r="G112" s="222"/>
      <c r="H112" s="46"/>
      <c r="I112" s="47"/>
      <c r="J112" s="47"/>
      <c r="K112" s="47"/>
      <c r="L112" s="50"/>
      <c r="M112" s="47"/>
      <c r="N112" s="50"/>
      <c r="O112" s="47"/>
      <c r="P112" s="96">
        <f>P111</f>
        <v>127854.14399999999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43"/>
      <c r="AN112" s="43"/>
      <c r="AO112" s="43"/>
      <c r="AP112" s="43"/>
      <c r="AQ112" s="8"/>
      <c r="AR112" s="43" t="s">
        <v>64</v>
      </c>
      <c r="AS112" s="8"/>
      <c r="AT112" s="8"/>
      <c r="AU112" s="8"/>
      <c r="AV112" s="8"/>
      <c r="AW112" s="8"/>
      <c r="AX112" s="8"/>
      <c r="AY112" s="8"/>
      <c r="AZ112" s="8"/>
      <c r="BA112" s="8"/>
    </row>
    <row r="113" spans="1:53" s="22" customFormat="1" ht="15" x14ac:dyDescent="0.25">
      <c r="A113" s="44" t="s">
        <v>180</v>
      </c>
      <c r="B113" s="45" t="s">
        <v>181</v>
      </c>
      <c r="C113" s="224" t="s">
        <v>182</v>
      </c>
      <c r="D113" s="224"/>
      <c r="E113" s="224"/>
      <c r="F113" s="224"/>
      <c r="G113" s="224"/>
      <c r="H113" s="46" t="s">
        <v>56</v>
      </c>
      <c r="I113" s="47">
        <f>0.34/100*O34</f>
        <v>0.34</v>
      </c>
      <c r="J113" s="48">
        <v>1</v>
      </c>
      <c r="K113" s="49">
        <v>0.34</v>
      </c>
      <c r="L113" s="50"/>
      <c r="M113" s="47"/>
      <c r="N113" s="50"/>
      <c r="O113" s="47"/>
      <c r="P113" s="51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43"/>
      <c r="AN113" s="43"/>
      <c r="AO113" s="43" t="s">
        <v>182</v>
      </c>
      <c r="AP113" s="43"/>
      <c r="AQ113" s="8"/>
      <c r="AR113" s="43"/>
      <c r="AS113" s="8"/>
      <c r="AT113" s="8"/>
      <c r="AU113" s="8"/>
      <c r="AV113" s="8"/>
      <c r="AW113" s="8"/>
      <c r="AX113" s="8"/>
      <c r="AY113" s="8"/>
      <c r="AZ113" s="8"/>
      <c r="BA113" s="8"/>
    </row>
    <row r="114" spans="1:53" s="22" customFormat="1" ht="15" x14ac:dyDescent="0.25">
      <c r="A114" s="52"/>
      <c r="B114" s="53"/>
      <c r="C114" s="222" t="s">
        <v>57</v>
      </c>
      <c r="D114" s="222"/>
      <c r="E114" s="222"/>
      <c r="F114" s="222"/>
      <c r="G114" s="222"/>
      <c r="H114" s="46"/>
      <c r="I114" s="47"/>
      <c r="J114" s="47"/>
      <c r="K114" s="47"/>
      <c r="L114" s="50"/>
      <c r="M114" s="47"/>
      <c r="N114" s="54"/>
      <c r="O114" s="47"/>
      <c r="P114" s="55">
        <f>17608/100*O34</f>
        <v>17608</v>
      </c>
      <c r="Q114" s="56"/>
      <c r="R114" s="56"/>
      <c r="S114" s="4"/>
      <c r="T114" s="4"/>
      <c r="U114" s="4"/>
      <c r="V114" s="4"/>
      <c r="W114" s="4"/>
      <c r="X114" s="4"/>
      <c r="Y114" s="4"/>
      <c r="Z114" s="4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43"/>
      <c r="AN114" s="43"/>
      <c r="AO114" s="43"/>
      <c r="AP114" s="43" t="s">
        <v>57</v>
      </c>
      <c r="AQ114" s="8"/>
      <c r="AR114" s="43"/>
      <c r="AS114" s="8"/>
      <c r="AT114" s="8"/>
      <c r="AU114" s="8"/>
      <c r="AV114" s="8"/>
      <c r="AW114" s="8"/>
      <c r="AX114" s="8"/>
      <c r="AY114" s="8"/>
      <c r="AZ114" s="8"/>
      <c r="BA114" s="8"/>
    </row>
    <row r="115" spans="1:53" s="22" customFormat="1" ht="15" x14ac:dyDescent="0.25">
      <c r="A115" s="57"/>
      <c r="B115" s="58"/>
      <c r="C115" s="223" t="s">
        <v>58</v>
      </c>
      <c r="D115" s="223"/>
      <c r="E115" s="223"/>
      <c r="F115" s="223"/>
      <c r="G115" s="223"/>
      <c r="H115" s="59"/>
      <c r="I115" s="60"/>
      <c r="J115" s="60"/>
      <c r="K115" s="60"/>
      <c r="L115" s="61"/>
      <c r="M115" s="60"/>
      <c r="N115" s="61"/>
      <c r="O115" s="60"/>
      <c r="P115" s="62">
        <f>13624/100*O34</f>
        <v>13624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43"/>
      <c r="AN115" s="43"/>
      <c r="AO115" s="43"/>
      <c r="AP115" s="43"/>
      <c r="AQ115" s="8" t="s">
        <v>58</v>
      </c>
      <c r="AR115" s="43"/>
      <c r="AS115" s="8"/>
      <c r="AT115" s="8"/>
      <c r="AU115" s="8"/>
      <c r="AV115" s="8"/>
      <c r="AW115" s="8"/>
      <c r="AX115" s="8"/>
      <c r="AY115" s="8"/>
      <c r="AZ115" s="8"/>
      <c r="BA115" s="8"/>
    </row>
    <row r="116" spans="1:53" s="22" customFormat="1" ht="15" x14ac:dyDescent="0.25">
      <c r="A116" s="57"/>
      <c r="B116" s="58" t="s">
        <v>111</v>
      </c>
      <c r="C116" s="223" t="s">
        <v>112</v>
      </c>
      <c r="D116" s="223"/>
      <c r="E116" s="223"/>
      <c r="F116" s="223"/>
      <c r="G116" s="223"/>
      <c r="H116" s="59" t="s">
        <v>61</v>
      </c>
      <c r="I116" s="63">
        <v>94</v>
      </c>
      <c r="J116" s="60"/>
      <c r="K116" s="63">
        <v>94</v>
      </c>
      <c r="L116" s="61"/>
      <c r="M116" s="60"/>
      <c r="N116" s="61"/>
      <c r="O116" s="60"/>
      <c r="P116" s="95">
        <f>P115*K116%</f>
        <v>12806.56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43"/>
      <c r="AN116" s="43"/>
      <c r="AO116" s="43"/>
      <c r="AP116" s="43"/>
      <c r="AQ116" s="8" t="s">
        <v>112</v>
      </c>
      <c r="AR116" s="43"/>
      <c r="AS116" s="8"/>
      <c r="AT116" s="8"/>
      <c r="AU116" s="8"/>
      <c r="AV116" s="8"/>
      <c r="AW116" s="8"/>
      <c r="AX116" s="8"/>
      <c r="AY116" s="8"/>
      <c r="AZ116" s="8"/>
      <c r="BA116" s="8"/>
    </row>
    <row r="117" spans="1:53" s="22" customFormat="1" ht="15" x14ac:dyDescent="0.25">
      <c r="A117" s="57"/>
      <c r="B117" s="58" t="s">
        <v>113</v>
      </c>
      <c r="C117" s="223" t="s">
        <v>114</v>
      </c>
      <c r="D117" s="223"/>
      <c r="E117" s="223"/>
      <c r="F117" s="223"/>
      <c r="G117" s="223"/>
      <c r="H117" s="59" t="s">
        <v>61</v>
      </c>
      <c r="I117" s="63">
        <v>51</v>
      </c>
      <c r="J117" s="60"/>
      <c r="K117" s="63">
        <v>51</v>
      </c>
      <c r="L117" s="61"/>
      <c r="M117" s="60"/>
      <c r="N117" s="61"/>
      <c r="O117" s="60"/>
      <c r="P117" s="95">
        <f>P115*K117%</f>
        <v>6948.24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43"/>
      <c r="AN117" s="43"/>
      <c r="AO117" s="43"/>
      <c r="AP117" s="43"/>
      <c r="AQ117" s="8" t="s">
        <v>114</v>
      </c>
      <c r="AR117" s="43"/>
      <c r="AS117" s="8"/>
      <c r="AT117" s="8"/>
      <c r="AU117" s="8"/>
      <c r="AV117" s="8"/>
      <c r="AW117" s="8"/>
      <c r="AX117" s="8"/>
      <c r="AY117" s="8"/>
      <c r="AZ117" s="8"/>
      <c r="BA117" s="8"/>
    </row>
    <row r="118" spans="1:53" s="22" customFormat="1" ht="15" x14ac:dyDescent="0.25">
      <c r="A118" s="64"/>
      <c r="B118" s="65"/>
      <c r="C118" s="222" t="s">
        <v>64</v>
      </c>
      <c r="D118" s="222"/>
      <c r="E118" s="222"/>
      <c r="F118" s="222"/>
      <c r="G118" s="222"/>
      <c r="H118" s="46"/>
      <c r="I118" s="47"/>
      <c r="J118" s="47"/>
      <c r="K118" s="47"/>
      <c r="L118" s="50"/>
      <c r="M118" s="47"/>
      <c r="N118" s="54">
        <v>109891.18</v>
      </c>
      <c r="O118" s="47"/>
      <c r="P118" s="96">
        <f>P114+P116+P117</f>
        <v>37362.799999999996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43"/>
      <c r="AN118" s="43"/>
      <c r="AO118" s="43"/>
      <c r="AP118" s="43"/>
      <c r="AQ118" s="8"/>
      <c r="AR118" s="43" t="s">
        <v>64</v>
      </c>
      <c r="AS118" s="8"/>
      <c r="AT118" s="8"/>
      <c r="AU118" s="8"/>
      <c r="AV118" s="8"/>
      <c r="AW118" s="8"/>
      <c r="AX118" s="8"/>
      <c r="AY118" s="8"/>
      <c r="AZ118" s="8"/>
      <c r="BA118" s="8"/>
    </row>
    <row r="119" spans="1:53" s="22" customFormat="1" ht="15" x14ac:dyDescent="0.25">
      <c r="A119" s="44" t="s">
        <v>183</v>
      </c>
      <c r="B119" s="45" t="s">
        <v>184</v>
      </c>
      <c r="C119" s="224" t="s">
        <v>185</v>
      </c>
      <c r="D119" s="224"/>
      <c r="E119" s="224"/>
      <c r="F119" s="224"/>
      <c r="G119" s="224"/>
      <c r="H119" s="46" t="s">
        <v>96</v>
      </c>
      <c r="I119" s="47">
        <f>35.02/100*O34</f>
        <v>35.020000000000003</v>
      </c>
      <c r="J119" s="48">
        <v>1</v>
      </c>
      <c r="K119" s="49">
        <v>35.020000000000003</v>
      </c>
      <c r="L119" s="54">
        <v>2283.27</v>
      </c>
      <c r="M119" s="49">
        <v>1.06</v>
      </c>
      <c r="N119" s="54">
        <v>2420.27</v>
      </c>
      <c r="O119" s="47"/>
      <c r="P119" s="96">
        <f>N119*I119</f>
        <v>84757.8554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43"/>
      <c r="AN119" s="43"/>
      <c r="AO119" s="43" t="s">
        <v>185</v>
      </c>
      <c r="AP119" s="43"/>
      <c r="AQ119" s="8"/>
      <c r="AR119" s="43"/>
      <c r="AS119" s="8"/>
      <c r="AT119" s="8"/>
      <c r="AU119" s="8"/>
      <c r="AV119" s="8"/>
      <c r="AW119" s="8"/>
      <c r="AX119" s="8"/>
      <c r="AY119" s="8"/>
      <c r="AZ119" s="8"/>
      <c r="BA119" s="8"/>
    </row>
    <row r="120" spans="1:53" s="22" customFormat="1" ht="15" x14ac:dyDescent="0.25">
      <c r="A120" s="64"/>
      <c r="B120" s="65"/>
      <c r="C120" s="222" t="s">
        <v>64</v>
      </c>
      <c r="D120" s="222"/>
      <c r="E120" s="222"/>
      <c r="F120" s="222"/>
      <c r="G120" s="222"/>
      <c r="H120" s="46"/>
      <c r="I120" s="47"/>
      <c r="J120" s="47"/>
      <c r="K120" s="47"/>
      <c r="L120" s="50"/>
      <c r="M120" s="47"/>
      <c r="N120" s="50"/>
      <c r="O120" s="47"/>
      <c r="P120" s="96">
        <f>P119</f>
        <v>84757.8554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43"/>
      <c r="AN120" s="43"/>
      <c r="AO120" s="43"/>
      <c r="AP120" s="43"/>
      <c r="AQ120" s="8"/>
      <c r="AR120" s="43" t="s">
        <v>64</v>
      </c>
      <c r="AS120" s="8"/>
      <c r="AT120" s="8"/>
      <c r="AU120" s="8"/>
      <c r="AV120" s="8"/>
      <c r="AW120" s="8"/>
      <c r="AX120" s="8"/>
      <c r="AY120" s="8"/>
      <c r="AZ120" s="8"/>
      <c r="BA120" s="8"/>
    </row>
    <row r="121" spans="1:53" s="22" customFormat="1" ht="23.25" x14ac:dyDescent="0.25">
      <c r="A121" s="44" t="s">
        <v>186</v>
      </c>
      <c r="B121" s="45" t="s">
        <v>187</v>
      </c>
      <c r="C121" s="224" t="s">
        <v>188</v>
      </c>
      <c r="D121" s="224"/>
      <c r="E121" s="224"/>
      <c r="F121" s="224"/>
      <c r="G121" s="224"/>
      <c r="H121" s="46" t="s">
        <v>84</v>
      </c>
      <c r="I121" s="47">
        <f>7/100*O34</f>
        <v>7.0000000000000009</v>
      </c>
      <c r="J121" s="48">
        <v>1</v>
      </c>
      <c r="K121" s="48">
        <v>7</v>
      </c>
      <c r="L121" s="50"/>
      <c r="M121" s="47"/>
      <c r="N121" s="50"/>
      <c r="O121" s="47"/>
      <c r="P121" s="51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43"/>
      <c r="AN121" s="43"/>
      <c r="AO121" s="43" t="s">
        <v>188</v>
      </c>
      <c r="AP121" s="43"/>
      <c r="AQ121" s="8"/>
      <c r="AR121" s="43"/>
      <c r="AS121" s="8"/>
      <c r="AT121" s="8"/>
      <c r="AU121" s="8"/>
      <c r="AV121" s="8"/>
      <c r="AW121" s="8"/>
      <c r="AX121" s="8"/>
      <c r="AY121" s="8"/>
      <c r="AZ121" s="8"/>
      <c r="BA121" s="8"/>
    </row>
    <row r="122" spans="1:53" s="22" customFormat="1" ht="15" x14ac:dyDescent="0.25">
      <c r="A122" s="52"/>
      <c r="B122" s="53"/>
      <c r="C122" s="222" t="s">
        <v>57</v>
      </c>
      <c r="D122" s="222"/>
      <c r="E122" s="222"/>
      <c r="F122" s="222"/>
      <c r="G122" s="222"/>
      <c r="H122" s="46"/>
      <c r="I122" s="47"/>
      <c r="J122" s="47"/>
      <c r="K122" s="47"/>
      <c r="L122" s="50"/>
      <c r="M122" s="47"/>
      <c r="N122" s="54"/>
      <c r="O122" s="47"/>
      <c r="P122" s="55">
        <f>445127/100*O34</f>
        <v>445127.00000000006</v>
      </c>
      <c r="Q122" s="56"/>
      <c r="R122" s="56"/>
      <c r="S122" s="4"/>
      <c r="T122" s="4"/>
      <c r="U122" s="4"/>
      <c r="V122" s="4"/>
      <c r="W122" s="4"/>
      <c r="X122" s="4"/>
      <c r="Y122" s="4"/>
      <c r="Z122" s="4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43"/>
      <c r="AN122" s="43"/>
      <c r="AO122" s="43"/>
      <c r="AP122" s="43" t="s">
        <v>57</v>
      </c>
      <c r="AQ122" s="8"/>
      <c r="AR122" s="43"/>
      <c r="AS122" s="8"/>
      <c r="AT122" s="8"/>
      <c r="AU122" s="8"/>
      <c r="AV122" s="8"/>
      <c r="AW122" s="8"/>
      <c r="AX122" s="8"/>
      <c r="AY122" s="8"/>
      <c r="AZ122" s="8"/>
      <c r="BA122" s="8"/>
    </row>
    <row r="123" spans="1:53" s="22" customFormat="1" ht="15" x14ac:dyDescent="0.25">
      <c r="A123" s="57"/>
      <c r="B123" s="58"/>
      <c r="C123" s="223" t="s">
        <v>58</v>
      </c>
      <c r="D123" s="223"/>
      <c r="E123" s="223"/>
      <c r="F123" s="223"/>
      <c r="G123" s="223"/>
      <c r="H123" s="59"/>
      <c r="I123" s="60"/>
      <c r="J123" s="60"/>
      <c r="K123" s="60"/>
      <c r="L123" s="61"/>
      <c r="M123" s="60"/>
      <c r="N123" s="61"/>
      <c r="O123" s="60"/>
      <c r="P123" s="62">
        <f>312641/100*O34</f>
        <v>312641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43"/>
      <c r="AN123" s="43"/>
      <c r="AO123" s="43"/>
      <c r="AP123" s="43"/>
      <c r="AQ123" s="8" t="s">
        <v>58</v>
      </c>
      <c r="AR123" s="43"/>
      <c r="AS123" s="8"/>
      <c r="AT123" s="8"/>
      <c r="AU123" s="8"/>
      <c r="AV123" s="8"/>
      <c r="AW123" s="8"/>
      <c r="AX123" s="8"/>
      <c r="AY123" s="8"/>
      <c r="AZ123" s="8"/>
      <c r="BA123" s="8"/>
    </row>
    <row r="124" spans="1:53" s="22" customFormat="1" ht="23.25" x14ac:dyDescent="0.25">
      <c r="A124" s="57"/>
      <c r="B124" s="58" t="s">
        <v>85</v>
      </c>
      <c r="C124" s="223" t="s">
        <v>86</v>
      </c>
      <c r="D124" s="223"/>
      <c r="E124" s="223"/>
      <c r="F124" s="223"/>
      <c r="G124" s="223"/>
      <c r="H124" s="59" t="s">
        <v>61</v>
      </c>
      <c r="I124" s="63">
        <v>89</v>
      </c>
      <c r="J124" s="60"/>
      <c r="K124" s="63">
        <v>89</v>
      </c>
      <c r="L124" s="61"/>
      <c r="M124" s="60"/>
      <c r="N124" s="61"/>
      <c r="O124" s="60"/>
      <c r="P124" s="95">
        <f>P123*K124%</f>
        <v>278250.49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43"/>
      <c r="AN124" s="43"/>
      <c r="AO124" s="43"/>
      <c r="AP124" s="43"/>
      <c r="AQ124" s="8" t="s">
        <v>86</v>
      </c>
      <c r="AR124" s="43"/>
      <c r="AS124" s="8"/>
      <c r="AT124" s="8"/>
      <c r="AU124" s="8"/>
      <c r="AV124" s="8"/>
      <c r="AW124" s="8"/>
      <c r="AX124" s="8"/>
      <c r="AY124" s="8"/>
      <c r="AZ124" s="8"/>
      <c r="BA124" s="8"/>
    </row>
    <row r="125" spans="1:53" s="22" customFormat="1" ht="23.25" x14ac:dyDescent="0.25">
      <c r="A125" s="57"/>
      <c r="B125" s="58" t="s">
        <v>87</v>
      </c>
      <c r="C125" s="223" t="s">
        <v>88</v>
      </c>
      <c r="D125" s="223"/>
      <c r="E125" s="223"/>
      <c r="F125" s="223"/>
      <c r="G125" s="223"/>
      <c r="H125" s="59" t="s">
        <v>61</v>
      </c>
      <c r="I125" s="63">
        <v>41</v>
      </c>
      <c r="J125" s="60"/>
      <c r="K125" s="63">
        <v>41</v>
      </c>
      <c r="L125" s="61"/>
      <c r="M125" s="60"/>
      <c r="N125" s="61"/>
      <c r="O125" s="60"/>
      <c r="P125" s="95">
        <f>P123*K125%</f>
        <v>128182.81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43"/>
      <c r="AN125" s="43"/>
      <c r="AO125" s="43"/>
      <c r="AP125" s="43"/>
      <c r="AQ125" s="8" t="s">
        <v>88</v>
      </c>
      <c r="AR125" s="43"/>
      <c r="AS125" s="8"/>
      <c r="AT125" s="8"/>
      <c r="AU125" s="8"/>
      <c r="AV125" s="8"/>
      <c r="AW125" s="8"/>
      <c r="AX125" s="8"/>
      <c r="AY125" s="8"/>
      <c r="AZ125" s="8"/>
      <c r="BA125" s="8"/>
    </row>
    <row r="126" spans="1:53" s="22" customFormat="1" ht="15" x14ac:dyDescent="0.25">
      <c r="A126" s="64"/>
      <c r="B126" s="65"/>
      <c r="C126" s="222" t="s">
        <v>64</v>
      </c>
      <c r="D126" s="222"/>
      <c r="E126" s="222"/>
      <c r="F126" s="222"/>
      <c r="G126" s="222"/>
      <c r="H126" s="46"/>
      <c r="I126" s="47"/>
      <c r="J126" s="47"/>
      <c r="K126" s="47"/>
      <c r="L126" s="50"/>
      <c r="M126" s="47"/>
      <c r="N126" s="54">
        <v>121651.43</v>
      </c>
      <c r="O126" s="47"/>
      <c r="P126" s="96">
        <f>P122+P124+P125</f>
        <v>851560.3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43"/>
      <c r="AN126" s="43"/>
      <c r="AO126" s="43"/>
      <c r="AP126" s="43"/>
      <c r="AQ126" s="8"/>
      <c r="AR126" s="43" t="s">
        <v>64</v>
      </c>
      <c r="AS126" s="8"/>
      <c r="AT126" s="8"/>
      <c r="AU126" s="8"/>
      <c r="AV126" s="8"/>
      <c r="AW126" s="8"/>
      <c r="AX126" s="8"/>
      <c r="AY126" s="8"/>
      <c r="AZ126" s="8"/>
      <c r="BA126" s="8"/>
    </row>
    <row r="127" spans="1:53" s="22" customFormat="1" ht="23.25" x14ac:dyDescent="0.25">
      <c r="A127" s="44" t="s">
        <v>189</v>
      </c>
      <c r="B127" s="45" t="s">
        <v>170</v>
      </c>
      <c r="C127" s="224" t="s">
        <v>171</v>
      </c>
      <c r="D127" s="224"/>
      <c r="E127" s="224"/>
      <c r="F127" s="224"/>
      <c r="G127" s="224"/>
      <c r="H127" s="46" t="s">
        <v>96</v>
      </c>
      <c r="I127" s="47">
        <f>105/100*O34</f>
        <v>105</v>
      </c>
      <c r="J127" s="48">
        <v>1</v>
      </c>
      <c r="K127" s="48">
        <v>105</v>
      </c>
      <c r="L127" s="54">
        <v>1892.9</v>
      </c>
      <c r="M127" s="49">
        <v>1.25</v>
      </c>
      <c r="N127" s="54">
        <v>2366.13</v>
      </c>
      <c r="O127" s="47"/>
      <c r="P127" s="96">
        <f>N127*I127</f>
        <v>248443.65000000002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43"/>
      <c r="AN127" s="43"/>
      <c r="AO127" s="43" t="s">
        <v>171</v>
      </c>
      <c r="AP127" s="43"/>
      <c r="AQ127" s="8"/>
      <c r="AR127" s="43"/>
      <c r="AS127" s="8"/>
      <c r="AT127" s="8"/>
      <c r="AU127" s="8"/>
      <c r="AV127" s="8"/>
      <c r="AW127" s="8"/>
      <c r="AX127" s="8"/>
      <c r="AY127" s="8"/>
      <c r="AZ127" s="8"/>
      <c r="BA127" s="8"/>
    </row>
    <row r="128" spans="1:53" s="22" customFormat="1" ht="15" x14ac:dyDescent="0.25">
      <c r="A128" s="64"/>
      <c r="B128" s="65"/>
      <c r="C128" s="222" t="s">
        <v>64</v>
      </c>
      <c r="D128" s="222"/>
      <c r="E128" s="222"/>
      <c r="F128" s="222"/>
      <c r="G128" s="222"/>
      <c r="H128" s="46"/>
      <c r="I128" s="47"/>
      <c r="J128" s="47"/>
      <c r="K128" s="47"/>
      <c r="L128" s="50"/>
      <c r="M128" s="47"/>
      <c r="N128" s="50"/>
      <c r="O128" s="47"/>
      <c r="P128" s="96">
        <f>P127</f>
        <v>248443.65000000002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43"/>
      <c r="AN128" s="43"/>
      <c r="AO128" s="43"/>
      <c r="AP128" s="43"/>
      <c r="AQ128" s="8"/>
      <c r="AR128" s="43" t="s">
        <v>64</v>
      </c>
      <c r="AS128" s="8"/>
      <c r="AT128" s="8"/>
      <c r="AU128" s="8"/>
      <c r="AV128" s="8"/>
      <c r="AW128" s="8"/>
      <c r="AX128" s="8"/>
      <c r="AY128" s="8"/>
      <c r="AZ128" s="8"/>
      <c r="BA128" s="8"/>
    </row>
    <row r="129" spans="1:53" s="22" customFormat="1" ht="23.25" x14ac:dyDescent="0.25">
      <c r="A129" s="44" t="s">
        <v>190</v>
      </c>
      <c r="B129" s="45" t="s">
        <v>191</v>
      </c>
      <c r="C129" s="224" t="s">
        <v>192</v>
      </c>
      <c r="D129" s="224"/>
      <c r="E129" s="224"/>
      <c r="F129" s="224"/>
      <c r="G129" s="224"/>
      <c r="H129" s="46" t="s">
        <v>96</v>
      </c>
      <c r="I129" s="47">
        <f>112/100*O34</f>
        <v>112.00000000000001</v>
      </c>
      <c r="J129" s="48">
        <v>1</v>
      </c>
      <c r="K129" s="48">
        <v>112</v>
      </c>
      <c r="L129" s="54">
        <v>30025.63</v>
      </c>
      <c r="M129" s="49">
        <v>1.03</v>
      </c>
      <c r="N129" s="54">
        <v>30926.400000000001</v>
      </c>
      <c r="O129" s="47"/>
      <c r="P129" s="96">
        <f>N129*I129</f>
        <v>3463756.8000000007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43"/>
      <c r="AN129" s="43"/>
      <c r="AO129" s="43" t="s">
        <v>192</v>
      </c>
      <c r="AP129" s="43"/>
      <c r="AQ129" s="8"/>
      <c r="AR129" s="43"/>
      <c r="AS129" s="8"/>
      <c r="AT129" s="8"/>
      <c r="AU129" s="8"/>
      <c r="AV129" s="8"/>
      <c r="AW129" s="8"/>
      <c r="AX129" s="8"/>
      <c r="AY129" s="8"/>
      <c r="AZ129" s="8"/>
      <c r="BA129" s="8"/>
    </row>
    <row r="130" spans="1:53" s="22" customFormat="1" ht="15" x14ac:dyDescent="0.25">
      <c r="A130" s="64"/>
      <c r="B130" s="65"/>
      <c r="C130" s="222" t="s">
        <v>64</v>
      </c>
      <c r="D130" s="222"/>
      <c r="E130" s="222"/>
      <c r="F130" s="222"/>
      <c r="G130" s="222"/>
      <c r="H130" s="46"/>
      <c r="I130" s="47"/>
      <c r="J130" s="47"/>
      <c r="K130" s="47"/>
      <c r="L130" s="50"/>
      <c r="M130" s="47"/>
      <c r="N130" s="50"/>
      <c r="O130" s="47"/>
      <c r="P130" s="96">
        <f>P129</f>
        <v>3463756.8000000007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43"/>
      <c r="AN130" s="43"/>
      <c r="AO130" s="43"/>
      <c r="AP130" s="43"/>
      <c r="AQ130" s="8"/>
      <c r="AR130" s="43" t="s">
        <v>64</v>
      </c>
      <c r="AS130" s="8"/>
      <c r="AT130" s="8"/>
      <c r="AU130" s="8"/>
      <c r="AV130" s="8"/>
      <c r="AW130" s="8"/>
      <c r="AX130" s="8"/>
      <c r="AY130" s="8"/>
      <c r="AZ130" s="8"/>
      <c r="BA130" s="8"/>
    </row>
    <row r="131" spans="1:53" s="22" customFormat="1" ht="0" hidden="1" customHeight="1" x14ac:dyDescent="0.25">
      <c r="A131" s="71"/>
      <c r="B131" s="72"/>
      <c r="C131" s="72"/>
      <c r="D131" s="72"/>
      <c r="E131" s="72"/>
      <c r="F131" s="73"/>
      <c r="G131" s="73"/>
      <c r="H131" s="73"/>
      <c r="I131" s="73"/>
      <c r="J131" s="74"/>
      <c r="K131" s="73"/>
      <c r="L131" s="73"/>
      <c r="M131" s="73"/>
      <c r="N131" s="74"/>
      <c r="O131" s="75"/>
      <c r="P131" s="7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43"/>
      <c r="AN131" s="43"/>
      <c r="AO131" s="43"/>
      <c r="AP131" s="43"/>
      <c r="AQ131" s="8"/>
      <c r="AR131" s="43"/>
      <c r="AS131" s="8"/>
      <c r="AT131" s="8"/>
      <c r="AU131" s="8"/>
      <c r="AV131" s="8"/>
      <c r="AW131" s="8"/>
      <c r="AX131" s="8"/>
      <c r="AY131" s="8"/>
      <c r="AZ131" s="8"/>
      <c r="BA131" s="8"/>
    </row>
    <row r="132" spans="1:53" s="22" customFormat="1" ht="15" x14ac:dyDescent="0.25">
      <c r="A132" s="52"/>
      <c r="B132" s="76"/>
      <c r="C132" s="221" t="s">
        <v>140</v>
      </c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77"/>
      <c r="Q132" s="2"/>
      <c r="R132" s="2"/>
      <c r="S132" s="4"/>
      <c r="T132" s="4"/>
      <c r="U132" s="4"/>
      <c r="V132" s="4"/>
      <c r="W132" s="4"/>
      <c r="X132" s="4"/>
      <c r="Y132" s="4"/>
      <c r="Z132" s="4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43" t="s">
        <v>140</v>
      </c>
      <c r="AT132" s="8"/>
      <c r="AU132" s="8"/>
      <c r="AV132" s="8"/>
      <c r="AW132" s="8"/>
      <c r="AX132" s="8"/>
      <c r="AY132" s="8"/>
      <c r="AZ132" s="8"/>
      <c r="BA132" s="8"/>
    </row>
    <row r="133" spans="1:53" s="22" customFormat="1" ht="15" x14ac:dyDescent="0.25">
      <c r="A133" s="52"/>
      <c r="B133" s="53"/>
      <c r="C133" s="217" t="s">
        <v>141</v>
      </c>
      <c r="D133" s="217"/>
      <c r="E133" s="217"/>
      <c r="F133" s="217"/>
      <c r="G133" s="217"/>
      <c r="H133" s="217"/>
      <c r="I133" s="217"/>
      <c r="J133" s="217"/>
      <c r="K133" s="217"/>
      <c r="L133" s="217"/>
      <c r="M133" s="217"/>
      <c r="N133" s="217"/>
      <c r="O133" s="217"/>
      <c r="P133" s="78">
        <f>4682430/100*O34</f>
        <v>4682430</v>
      </c>
      <c r="Q133" s="2"/>
      <c r="R133" s="2"/>
      <c r="S133" s="4"/>
      <c r="T133" s="4"/>
      <c r="U133" s="4"/>
      <c r="V133" s="4"/>
      <c r="W133" s="4"/>
      <c r="X133" s="4"/>
      <c r="Y133" s="4"/>
      <c r="Z133" s="4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43"/>
      <c r="AT133" s="3" t="s">
        <v>141</v>
      </c>
      <c r="AU133" s="8"/>
      <c r="AV133" s="8"/>
      <c r="AW133" s="8"/>
      <c r="AX133" s="8"/>
      <c r="AY133" s="8"/>
      <c r="AZ133" s="8"/>
      <c r="BA133" s="8"/>
    </row>
    <row r="134" spans="1:53" s="22" customFormat="1" ht="15" x14ac:dyDescent="0.25">
      <c r="A134" s="52"/>
      <c r="B134" s="53"/>
      <c r="C134" s="217" t="s">
        <v>142</v>
      </c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78">
        <f>5266902/100*O34</f>
        <v>5266902</v>
      </c>
      <c r="Q134" s="2"/>
      <c r="R134" s="2"/>
      <c r="S134" s="4"/>
      <c r="T134" s="4"/>
      <c r="U134" s="4"/>
      <c r="V134" s="4"/>
      <c r="W134" s="4"/>
      <c r="X134" s="4"/>
      <c r="Y134" s="4"/>
      <c r="Z134" s="4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43"/>
      <c r="AT134" s="3" t="s">
        <v>142</v>
      </c>
      <c r="AU134" s="8"/>
      <c r="AV134" s="8"/>
      <c r="AW134" s="8"/>
      <c r="AX134" s="8"/>
      <c r="AY134" s="8"/>
      <c r="AZ134" s="8"/>
      <c r="BA134" s="8"/>
    </row>
    <row r="135" spans="1:53" s="22" customFormat="1" ht="15" x14ac:dyDescent="0.25">
      <c r="A135" s="52"/>
      <c r="B135" s="53"/>
      <c r="C135" s="217" t="s">
        <v>144</v>
      </c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78">
        <f>P123+P115+P107+P99+P91+P81+P74+P68+P61+P55+P49+P43</f>
        <v>425987</v>
      </c>
      <c r="Q135" s="2"/>
      <c r="R135" s="2"/>
      <c r="S135" s="4"/>
      <c r="T135" s="4"/>
      <c r="U135" s="4"/>
      <c r="V135" s="4"/>
      <c r="W135" s="4"/>
      <c r="X135" s="4"/>
      <c r="Y135" s="4"/>
      <c r="Z135" s="4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43"/>
      <c r="AT135" s="3" t="s">
        <v>144</v>
      </c>
      <c r="AU135" s="8"/>
      <c r="AV135" s="8"/>
      <c r="AW135" s="8"/>
      <c r="AX135" s="8"/>
      <c r="AY135" s="8"/>
      <c r="AZ135" s="8"/>
      <c r="BA135" s="8"/>
    </row>
    <row r="136" spans="1:53" s="22" customFormat="1" ht="15" x14ac:dyDescent="0.25">
      <c r="A136" s="52"/>
      <c r="B136" s="53"/>
      <c r="C136" s="217" t="s">
        <v>145</v>
      </c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97">
        <f t="shared" ref="P136:P137" si="0">P124+P116+P108+P100+P92+P82+P75+P69+P62+P56+P50+P44</f>
        <v>391235.45999999996</v>
      </c>
      <c r="Q136" s="2"/>
      <c r="R136" s="2"/>
      <c r="S136" s="4"/>
      <c r="T136" s="4"/>
      <c r="U136" s="4"/>
      <c r="V136" s="4"/>
      <c r="W136" s="4"/>
      <c r="X136" s="4"/>
      <c r="Y136" s="4"/>
      <c r="Z136" s="4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43"/>
      <c r="AT136" s="3" t="s">
        <v>145</v>
      </c>
      <c r="AU136" s="8"/>
      <c r="AV136" s="8"/>
      <c r="AW136" s="8"/>
      <c r="AX136" s="8"/>
      <c r="AY136" s="8"/>
      <c r="AZ136" s="8"/>
      <c r="BA136" s="8"/>
    </row>
    <row r="137" spans="1:53" s="22" customFormat="1" ht="15" x14ac:dyDescent="0.25">
      <c r="A137" s="52"/>
      <c r="B137" s="53"/>
      <c r="C137" s="217" t="s">
        <v>146</v>
      </c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97">
        <f t="shared" si="0"/>
        <v>193236.1</v>
      </c>
      <c r="Q137" s="2"/>
      <c r="R137" s="2"/>
      <c r="S137" s="4"/>
      <c r="T137" s="4"/>
      <c r="U137" s="4"/>
      <c r="V137" s="4"/>
      <c r="W137" s="4"/>
      <c r="X137" s="4"/>
      <c r="Y137" s="4"/>
      <c r="Z137" s="4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43"/>
      <c r="AT137" s="3" t="s">
        <v>146</v>
      </c>
      <c r="AU137" s="8"/>
      <c r="AV137" s="8"/>
      <c r="AW137" s="8"/>
      <c r="AX137" s="8"/>
      <c r="AY137" s="8"/>
      <c r="AZ137" s="8"/>
      <c r="BA137" s="8"/>
    </row>
    <row r="138" spans="1:53" s="22" customFormat="1" ht="15" x14ac:dyDescent="0.25">
      <c r="A138" s="52"/>
      <c r="B138" s="76"/>
      <c r="C138" s="221" t="s">
        <v>147</v>
      </c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79">
        <f>P133+P136+P137</f>
        <v>5266901.5599999996</v>
      </c>
      <c r="Q138" s="2"/>
      <c r="R138" s="2"/>
      <c r="S138" s="4"/>
      <c r="T138" s="4"/>
      <c r="U138" s="4"/>
      <c r="V138" s="4"/>
      <c r="W138" s="4"/>
      <c r="X138" s="4"/>
      <c r="Y138" s="4"/>
      <c r="Z138" s="4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43"/>
      <c r="AT138" s="3"/>
      <c r="AU138" s="43" t="s">
        <v>147</v>
      </c>
      <c r="AV138" s="8"/>
      <c r="AW138" s="8"/>
      <c r="AX138" s="8"/>
      <c r="AY138" s="8"/>
      <c r="AZ138" s="8"/>
      <c r="BA138" s="8"/>
    </row>
    <row r="139" spans="1:53" s="22" customFormat="1" ht="15" x14ac:dyDescent="0.25">
      <c r="A139" s="52"/>
      <c r="B139" s="76"/>
      <c r="C139" s="221" t="s">
        <v>148</v>
      </c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80"/>
      <c r="Q139" s="2"/>
      <c r="R139" s="2"/>
      <c r="S139" s="4"/>
      <c r="T139" s="4"/>
      <c r="U139" s="4"/>
      <c r="V139" s="4"/>
      <c r="W139" s="4"/>
      <c r="X139" s="4"/>
      <c r="Y139" s="4"/>
      <c r="Z139" s="4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43" t="s">
        <v>148</v>
      </c>
      <c r="AW139" s="8"/>
      <c r="AX139" s="8"/>
      <c r="AY139" s="8"/>
      <c r="AZ139" s="8"/>
      <c r="BA139" s="8"/>
    </row>
    <row r="140" spans="1:53" s="22" customFormat="1" ht="15" x14ac:dyDescent="0.25">
      <c r="A140" s="52"/>
      <c r="B140" s="76"/>
      <c r="C140" s="220" t="s">
        <v>150</v>
      </c>
      <c r="D140" s="220"/>
      <c r="E140" s="220"/>
      <c r="F140" s="220"/>
      <c r="G140" s="220"/>
      <c r="H140" s="220"/>
      <c r="I140" s="220"/>
      <c r="J140" s="220"/>
      <c r="K140" s="83">
        <f>1115.15731/100*O34</f>
        <v>1115.1573100000001</v>
      </c>
      <c r="L140" s="220"/>
      <c r="M140" s="220"/>
      <c r="N140" s="220"/>
      <c r="O140" s="220"/>
      <c r="P140" s="82"/>
      <c r="Q140" s="2"/>
      <c r="R140" s="2"/>
      <c r="S140" s="4"/>
      <c r="T140" s="4"/>
      <c r="U140" s="4"/>
      <c r="V140" s="4"/>
      <c r="W140" s="4"/>
      <c r="X140" s="4"/>
      <c r="Y140" s="4"/>
      <c r="Z140" s="4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43"/>
      <c r="AW140" s="3" t="s">
        <v>150</v>
      </c>
      <c r="AX140" s="8"/>
      <c r="AY140" s="8"/>
      <c r="AZ140" s="8"/>
      <c r="BA140" s="8"/>
    </row>
    <row r="141" spans="1:53" s="22" customFormat="1" ht="15" x14ac:dyDescent="0.25">
      <c r="A141" s="52"/>
      <c r="B141" s="76"/>
      <c r="C141" s="220" t="s">
        <v>151</v>
      </c>
      <c r="D141" s="220"/>
      <c r="E141" s="220"/>
      <c r="F141" s="220"/>
      <c r="G141" s="220"/>
      <c r="H141" s="220"/>
      <c r="I141" s="220"/>
      <c r="J141" s="220"/>
      <c r="K141" s="81">
        <f>97.6808/100*O34</f>
        <v>97.680800000000005</v>
      </c>
      <c r="L141" s="220"/>
      <c r="M141" s="220"/>
      <c r="N141" s="220"/>
      <c r="O141" s="220"/>
      <c r="P141" s="82"/>
      <c r="Q141" s="2"/>
      <c r="R141" s="2"/>
      <c r="S141" s="4"/>
      <c r="T141" s="4"/>
      <c r="U141" s="4"/>
      <c r="V141" s="4"/>
      <c r="W141" s="4"/>
      <c r="X141" s="4"/>
      <c r="Y141" s="4"/>
      <c r="Z141" s="4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43"/>
      <c r="AW141" s="3" t="s">
        <v>151</v>
      </c>
      <c r="AX141" s="8"/>
      <c r="AY141" s="8"/>
      <c r="AZ141" s="8"/>
      <c r="BA141" s="8"/>
    </row>
    <row r="142" spans="1:53" s="22" customFormat="1" ht="11.25" hidden="1" customHeight="1" x14ac:dyDescent="0.2">
      <c r="A142" s="5"/>
      <c r="B142" s="74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84"/>
      <c r="O142" s="85"/>
      <c r="P142" s="86"/>
      <c r="Q142" s="2"/>
      <c r="R142" s="2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</row>
    <row r="143" spans="1:53" s="4" customFormat="1" ht="26.25" customHeight="1" x14ac:dyDescent="0.25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</row>
    <row r="144" spans="1:53" s="22" customFormat="1" ht="15" x14ac:dyDescent="0.25">
      <c r="A144" s="7"/>
      <c r="B144" s="88" t="s">
        <v>152</v>
      </c>
      <c r="C144" s="218"/>
      <c r="D144" s="218"/>
      <c r="E144" s="218"/>
      <c r="F144" s="218"/>
      <c r="G144" s="218"/>
      <c r="H144" s="218"/>
      <c r="I144" s="219"/>
      <c r="J144" s="219"/>
      <c r="K144" s="219"/>
      <c r="L144" s="219"/>
      <c r="M144" s="219"/>
      <c r="N144" s="219"/>
      <c r="O144" s="4"/>
      <c r="P144" s="4"/>
      <c r="Q144" s="2"/>
      <c r="R144" s="2"/>
      <c r="S144" s="4"/>
      <c r="T144" s="4"/>
      <c r="U144" s="4"/>
      <c r="V144" s="4"/>
      <c r="W144" s="4"/>
      <c r="X144" s="4"/>
      <c r="Y144" s="4"/>
      <c r="Z144" s="4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 t="s">
        <v>9</v>
      </c>
      <c r="AY144" s="8" t="s">
        <v>9</v>
      </c>
      <c r="AZ144" s="8"/>
      <c r="BA144" s="8"/>
    </row>
    <row r="145" spans="1:53" s="89" customFormat="1" ht="16.5" customHeight="1" x14ac:dyDescent="0.25">
      <c r="A145" s="12"/>
      <c r="B145" s="88"/>
      <c r="C145" s="214" t="s">
        <v>153</v>
      </c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Q145" s="90"/>
      <c r="R145" s="90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</row>
    <row r="146" spans="1:53" s="22" customFormat="1" ht="15" x14ac:dyDescent="0.25">
      <c r="A146" s="7"/>
      <c r="B146" s="88" t="s">
        <v>154</v>
      </c>
      <c r="C146" s="218"/>
      <c r="D146" s="218"/>
      <c r="E146" s="218"/>
      <c r="F146" s="218"/>
      <c r="G146" s="218"/>
      <c r="H146" s="218"/>
      <c r="I146" s="219"/>
      <c r="J146" s="219"/>
      <c r="K146" s="219"/>
      <c r="L146" s="219"/>
      <c r="M146" s="219"/>
      <c r="N146" s="219"/>
      <c r="O146" s="4"/>
      <c r="P146" s="4"/>
      <c r="Q146" s="2"/>
      <c r="R146" s="2"/>
      <c r="S146" s="4"/>
      <c r="T146" s="4"/>
      <c r="U146" s="4"/>
      <c r="V146" s="4"/>
      <c r="W146" s="4"/>
      <c r="X146" s="4"/>
      <c r="Y146" s="4"/>
      <c r="Z146" s="4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 t="s">
        <v>9</v>
      </c>
      <c r="BA146" s="8" t="s">
        <v>9</v>
      </c>
    </row>
    <row r="147" spans="1:53" s="89" customFormat="1" ht="16.5" customHeight="1" x14ac:dyDescent="0.25">
      <c r="A147" s="12"/>
      <c r="C147" s="214" t="s">
        <v>153</v>
      </c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Q147" s="90"/>
      <c r="R147" s="90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</row>
    <row r="148" spans="1:53" s="4" customFormat="1" ht="12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53" s="4" customFormat="1" ht="26.25" customHeight="1" x14ac:dyDescent="0.25">
      <c r="A149" s="215" t="s">
        <v>155</v>
      </c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</row>
    <row r="150" spans="1:53" s="4" customFormat="1" ht="17.25" customHeight="1" x14ac:dyDescent="0.25">
      <c r="A150" s="217" t="s">
        <v>156</v>
      </c>
      <c r="B150" s="217"/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  <c r="N150" s="217"/>
      <c r="O150" s="217"/>
      <c r="P150" s="217"/>
    </row>
    <row r="151" spans="1:53" s="4" customFormat="1" ht="17.25" customHeight="1" x14ac:dyDescent="0.25">
      <c r="A151" s="217" t="s">
        <v>157</v>
      </c>
      <c r="B151" s="217"/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</row>
    <row r="152" spans="1:53" s="4" customFormat="1" ht="13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53" s="4" customFormat="1" ht="15" x14ac:dyDescent="0.25">
      <c r="A153" s="5"/>
    </row>
    <row r="154" spans="1:53" s="4" customFormat="1" ht="15" x14ac:dyDescent="0.25">
      <c r="A154" s="5"/>
    </row>
    <row r="155" spans="1:53" s="4" customFormat="1" ht="15" x14ac:dyDescent="0.25">
      <c r="A155" s="5"/>
    </row>
    <row r="156" spans="1:53" s="4" customFormat="1" ht="15" x14ac:dyDescent="0.25">
      <c r="A156" s="5"/>
    </row>
    <row r="157" spans="1:53" s="4" customFormat="1" ht="15" x14ac:dyDescent="0.25">
      <c r="A157" s="5"/>
    </row>
    <row r="158" spans="1:53" s="4" customFormat="1" ht="15" x14ac:dyDescent="0.25">
      <c r="A158" s="5"/>
    </row>
    <row r="159" spans="1:53" s="4" customFormat="1" ht="15" x14ac:dyDescent="0.25">
      <c r="A159" s="5"/>
    </row>
    <row r="160" spans="1:53" s="4" customFormat="1" ht="15" x14ac:dyDescent="0.25">
      <c r="A160" s="5"/>
    </row>
    <row r="161" spans="1:1" s="4" customFormat="1" ht="15" x14ac:dyDescent="0.25">
      <c r="A161" s="5"/>
    </row>
    <row r="162" spans="1:1" s="4" customFormat="1" ht="15" x14ac:dyDescent="0.25">
      <c r="A162" s="5"/>
    </row>
    <row r="163" spans="1:1" s="4" customFormat="1" ht="15" x14ac:dyDescent="0.25">
      <c r="A163" s="5"/>
    </row>
    <row r="164" spans="1:1" s="4" customFormat="1" ht="15" x14ac:dyDescent="0.25">
      <c r="A164" s="5"/>
    </row>
    <row r="165" spans="1:1" s="4" customFormat="1" ht="15" x14ac:dyDescent="0.25">
      <c r="A165" s="5"/>
    </row>
    <row r="166" spans="1:1" s="4" customFormat="1" ht="15" x14ac:dyDescent="0.25">
      <c r="A166" s="5"/>
    </row>
    <row r="167" spans="1:1" s="4" customFormat="1" ht="15" x14ac:dyDescent="0.25">
      <c r="A167" s="5"/>
    </row>
    <row r="168" spans="1:1" s="4" customFormat="1" ht="15" x14ac:dyDescent="0.25">
      <c r="A168" s="5"/>
    </row>
    <row r="169" spans="1:1" s="4" customFormat="1" ht="15" x14ac:dyDescent="0.25">
      <c r="A169" s="5"/>
    </row>
    <row r="170" spans="1:1" s="4" customFormat="1" ht="15" x14ac:dyDescent="0.25">
      <c r="A170" s="5"/>
    </row>
    <row r="171" spans="1:1" s="4" customFormat="1" ht="15" x14ac:dyDescent="0.25">
      <c r="A171" s="5"/>
    </row>
    <row r="172" spans="1:1" s="4" customFormat="1" ht="15" x14ac:dyDescent="0.25">
      <c r="A172" s="5"/>
    </row>
    <row r="173" spans="1:1" s="4" customFormat="1" ht="15" x14ac:dyDescent="0.25">
      <c r="A173" s="5"/>
    </row>
    <row r="174" spans="1:1" s="4" customFormat="1" ht="15" x14ac:dyDescent="0.25">
      <c r="A174" s="5"/>
    </row>
    <row r="175" spans="1:1" s="4" customFormat="1" ht="15" x14ac:dyDescent="0.25">
      <c r="A175" s="5"/>
    </row>
    <row r="176" spans="1:1" s="4" customFormat="1" ht="15" x14ac:dyDescent="0.25">
      <c r="A176" s="5"/>
    </row>
    <row r="177" spans="1:1" s="4" customFormat="1" ht="15" x14ac:dyDescent="0.25">
      <c r="A177" s="5"/>
    </row>
    <row r="178" spans="1:1" s="4" customFormat="1" ht="15" x14ac:dyDescent="0.25">
      <c r="A178" s="5"/>
    </row>
    <row r="179" spans="1:1" s="4" customFormat="1" ht="15" x14ac:dyDescent="0.25">
      <c r="A179" s="5"/>
    </row>
    <row r="180" spans="1:1" s="4" customFormat="1" ht="15" x14ac:dyDescent="0.25">
      <c r="A180" s="5"/>
    </row>
    <row r="181" spans="1:1" s="4" customFormat="1" ht="15" x14ac:dyDescent="0.25">
      <c r="A181" s="5"/>
    </row>
    <row r="182" spans="1:1" s="4" customFormat="1" ht="15" x14ac:dyDescent="0.25">
      <c r="A182" s="5"/>
    </row>
    <row r="183" spans="1:1" s="4" customFormat="1" ht="15" x14ac:dyDescent="0.25">
      <c r="A183" s="5"/>
    </row>
    <row r="184" spans="1:1" s="4" customFormat="1" ht="15" x14ac:dyDescent="0.25">
      <c r="A184" s="5"/>
    </row>
    <row r="185" spans="1:1" s="4" customFormat="1" ht="15" x14ac:dyDescent="0.25">
      <c r="A185" s="5"/>
    </row>
    <row r="186" spans="1:1" s="4" customFormat="1" ht="15" x14ac:dyDescent="0.25">
      <c r="A186" s="5"/>
    </row>
    <row r="187" spans="1:1" s="4" customFormat="1" ht="15" x14ac:dyDescent="0.25">
      <c r="A187" s="5"/>
    </row>
  </sheetData>
  <mergeCells count="146">
    <mergeCell ref="A7:F7"/>
    <mergeCell ref="G7:P7"/>
    <mergeCell ref="A8:F8"/>
    <mergeCell ref="G8:P8"/>
    <mergeCell ref="A9:F9"/>
    <mergeCell ref="G9:P9"/>
    <mergeCell ref="A4:F4"/>
    <mergeCell ref="G4:P4"/>
    <mergeCell ref="A5:F5"/>
    <mergeCell ref="G5:P5"/>
    <mergeCell ref="A6:F6"/>
    <mergeCell ref="G6:P6"/>
    <mergeCell ref="A14:P14"/>
    <mergeCell ref="A16:P16"/>
    <mergeCell ref="A17:P17"/>
    <mergeCell ref="A18:P18"/>
    <mergeCell ref="A20:P20"/>
    <mergeCell ref="A10:F10"/>
    <mergeCell ref="G10:P10"/>
    <mergeCell ref="A11:F11"/>
    <mergeCell ref="G11:P11"/>
    <mergeCell ref="A13:P13"/>
    <mergeCell ref="C38:G38"/>
    <mergeCell ref="A39:P39"/>
    <mergeCell ref="A40:P40"/>
    <mergeCell ref="C41:G41"/>
    <mergeCell ref="C42:G42"/>
    <mergeCell ref="A21:P21"/>
    <mergeCell ref="B23:F23"/>
    <mergeCell ref="B24:F24"/>
    <mergeCell ref="C26:F26"/>
    <mergeCell ref="A35:A37"/>
    <mergeCell ref="B35:B37"/>
    <mergeCell ref="C35:G37"/>
    <mergeCell ref="H35:H37"/>
    <mergeCell ref="I35:K36"/>
    <mergeCell ref="L35:P36"/>
    <mergeCell ref="C48:G48"/>
    <mergeCell ref="C49:G49"/>
    <mergeCell ref="C50:G50"/>
    <mergeCell ref="C51:G51"/>
    <mergeCell ref="C52:G52"/>
    <mergeCell ref="C43:G43"/>
    <mergeCell ref="C44:G44"/>
    <mergeCell ref="C45:G45"/>
    <mergeCell ref="C46:G46"/>
    <mergeCell ref="C47:G47"/>
    <mergeCell ref="C58:G58"/>
    <mergeCell ref="C59:G59"/>
    <mergeCell ref="C60:G60"/>
    <mergeCell ref="C61:G61"/>
    <mergeCell ref="C62:G62"/>
    <mergeCell ref="C53:G53"/>
    <mergeCell ref="C54:G54"/>
    <mergeCell ref="C55:G55"/>
    <mergeCell ref="C56:G56"/>
    <mergeCell ref="C57:G57"/>
    <mergeCell ref="C68:G68"/>
    <mergeCell ref="C69:G69"/>
    <mergeCell ref="C70:G70"/>
    <mergeCell ref="C71:G71"/>
    <mergeCell ref="C72:G72"/>
    <mergeCell ref="C63:G63"/>
    <mergeCell ref="C64:G64"/>
    <mergeCell ref="A65:P65"/>
    <mergeCell ref="C66:G66"/>
    <mergeCell ref="C67:G67"/>
    <mergeCell ref="A78:P78"/>
    <mergeCell ref="C79:G79"/>
    <mergeCell ref="C80:G80"/>
    <mergeCell ref="C81:G81"/>
    <mergeCell ref="C82:G82"/>
    <mergeCell ref="C73:G73"/>
    <mergeCell ref="C74:G74"/>
    <mergeCell ref="C75:G75"/>
    <mergeCell ref="C76:G76"/>
    <mergeCell ref="C77:G77"/>
    <mergeCell ref="C88:G88"/>
    <mergeCell ref="C89:G89"/>
    <mergeCell ref="C90:G90"/>
    <mergeCell ref="C91:G91"/>
    <mergeCell ref="C92:G92"/>
    <mergeCell ref="C83:G83"/>
    <mergeCell ref="C84:G84"/>
    <mergeCell ref="C85:G85"/>
    <mergeCell ref="C86:G86"/>
    <mergeCell ref="C87:G87"/>
    <mergeCell ref="C98:G98"/>
    <mergeCell ref="C99:G99"/>
    <mergeCell ref="C100:G100"/>
    <mergeCell ref="C101:G101"/>
    <mergeCell ref="C102:G102"/>
    <mergeCell ref="C93:G93"/>
    <mergeCell ref="C94:G94"/>
    <mergeCell ref="C95:G95"/>
    <mergeCell ref="C96:G96"/>
    <mergeCell ref="C97:G97"/>
    <mergeCell ref="C108:G108"/>
    <mergeCell ref="C109:G109"/>
    <mergeCell ref="C110:G110"/>
    <mergeCell ref="C111:G111"/>
    <mergeCell ref="C112:G112"/>
    <mergeCell ref="C103:G103"/>
    <mergeCell ref="C104:G104"/>
    <mergeCell ref="C105:G105"/>
    <mergeCell ref="C106:G106"/>
    <mergeCell ref="C107:G107"/>
    <mergeCell ref="C118:G118"/>
    <mergeCell ref="C119:G119"/>
    <mergeCell ref="C120:G120"/>
    <mergeCell ref="C121:G121"/>
    <mergeCell ref="C122:G122"/>
    <mergeCell ref="C113:G113"/>
    <mergeCell ref="C114:G114"/>
    <mergeCell ref="C115:G115"/>
    <mergeCell ref="C116:G116"/>
    <mergeCell ref="C117:G117"/>
    <mergeCell ref="C128:G128"/>
    <mergeCell ref="C129:G129"/>
    <mergeCell ref="C130:G130"/>
    <mergeCell ref="C132:O132"/>
    <mergeCell ref="C133:O133"/>
    <mergeCell ref="C123:G123"/>
    <mergeCell ref="C124:G124"/>
    <mergeCell ref="C125:G125"/>
    <mergeCell ref="C126:G126"/>
    <mergeCell ref="C127:G127"/>
    <mergeCell ref="C139:O139"/>
    <mergeCell ref="C140:J140"/>
    <mergeCell ref="L140:O140"/>
    <mergeCell ref="C141:J141"/>
    <mergeCell ref="L141:O141"/>
    <mergeCell ref="C134:O134"/>
    <mergeCell ref="C135:O135"/>
    <mergeCell ref="C136:O136"/>
    <mergeCell ref="C137:O137"/>
    <mergeCell ref="C138:O138"/>
    <mergeCell ref="C147:N147"/>
    <mergeCell ref="A149:P149"/>
    <mergeCell ref="A150:P150"/>
    <mergeCell ref="A151:P151"/>
    <mergeCell ref="C144:H144"/>
    <mergeCell ref="I144:N144"/>
    <mergeCell ref="C145:N145"/>
    <mergeCell ref="C146:H146"/>
    <mergeCell ref="I146:N146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9" fitToHeight="0" orientation="landscape" r:id="rId1"/>
  <headerFooter>
    <oddFooter>&amp;RСтраница &amp;P</oddFooter>
  </headerFooter>
  <rowBreaks count="1" manualBreakCount="1">
    <brk id="34" max="18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A201"/>
  <sheetViews>
    <sheetView topLeftCell="A125" workbookViewId="0">
      <selection activeCell="T1" sqref="T1:T1048576"/>
    </sheetView>
  </sheetViews>
  <sheetFormatPr defaultColWidth="9.140625" defaultRowHeight="11.25" customHeight="1" x14ac:dyDescent="0.2"/>
  <cols>
    <col min="1" max="1" width="9.7109375" style="213" customWidth="1"/>
    <col min="2" max="2" width="20.7109375" style="213" customWidth="1"/>
    <col min="3" max="3" width="10.7109375" style="213" customWidth="1"/>
    <col min="4" max="4" width="12.85546875" style="213" customWidth="1"/>
    <col min="5" max="5" width="10.42578125" style="213" customWidth="1"/>
    <col min="6" max="6" width="11.7109375" style="213" customWidth="1"/>
    <col min="7" max="7" width="6.140625" style="213" customWidth="1"/>
    <col min="8" max="8" width="9.28515625" style="213" customWidth="1"/>
    <col min="9" max="9" width="10.7109375" style="213" customWidth="1"/>
    <col min="10" max="10" width="12.42578125" style="213" customWidth="1"/>
    <col min="11" max="11" width="13.28515625" style="213" customWidth="1"/>
    <col min="12" max="12" width="17" style="213" customWidth="1"/>
    <col min="13" max="13" width="11.5703125" style="213" customWidth="1"/>
    <col min="14" max="14" width="17" style="213" customWidth="1"/>
    <col min="15" max="15" width="12.85546875" style="213" customWidth="1"/>
    <col min="16" max="16" width="17" style="213" customWidth="1"/>
    <col min="17" max="17" width="75.28515625" style="127" hidden="1" customWidth="1"/>
    <col min="18" max="18" width="126.5703125" style="127" hidden="1" customWidth="1"/>
    <col min="19" max="26" width="9.140625" style="213"/>
    <col min="27" max="33" width="127.28515625" style="199" hidden="1" customWidth="1"/>
    <col min="34" max="36" width="203.42578125" style="199" hidden="1" customWidth="1"/>
    <col min="37" max="37" width="66.42578125" style="199" hidden="1" customWidth="1"/>
    <col min="38" max="38" width="45.7109375" style="199" hidden="1" customWidth="1"/>
    <col min="39" max="40" width="203.42578125" style="199" hidden="1" customWidth="1"/>
    <col min="41" max="44" width="51.85546875" style="199" hidden="1" customWidth="1"/>
    <col min="45" max="48" width="156" style="199" hidden="1" customWidth="1"/>
    <col min="49" max="49" width="84.28515625" style="199" hidden="1" customWidth="1"/>
    <col min="50" max="50" width="61.140625" style="199" hidden="1" customWidth="1"/>
    <col min="51" max="51" width="82" style="199" hidden="1" customWidth="1"/>
    <col min="52" max="52" width="61.140625" style="199" hidden="1" customWidth="1"/>
    <col min="53" max="53" width="82" style="199" hidden="1" customWidth="1"/>
    <col min="54" max="16384" width="9.140625" style="213"/>
  </cols>
  <sheetData>
    <row r="1" spans="1:35" s="122" customFormat="1" ht="15" x14ac:dyDescent="0.2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 t="s">
        <v>0</v>
      </c>
    </row>
    <row r="2" spans="1:35" s="122" customFormat="1" ht="11.2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P2" s="121" t="s">
        <v>1</v>
      </c>
    </row>
    <row r="3" spans="1:35" s="122" customFormat="1" ht="15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P3" s="121"/>
    </row>
    <row r="4" spans="1:35" s="122" customFormat="1" ht="12.75" customHeight="1" x14ac:dyDescent="0.25">
      <c r="A4" s="261" t="s">
        <v>2</v>
      </c>
      <c r="B4" s="261"/>
      <c r="C4" s="261"/>
      <c r="D4" s="261"/>
      <c r="E4" s="261"/>
      <c r="F4" s="261"/>
      <c r="G4" s="287" t="s">
        <v>3</v>
      </c>
      <c r="H4" s="287"/>
      <c r="I4" s="287"/>
      <c r="J4" s="287"/>
      <c r="K4" s="287"/>
      <c r="L4" s="287"/>
      <c r="M4" s="287"/>
      <c r="N4" s="287"/>
      <c r="O4" s="287"/>
      <c r="P4" s="287"/>
    </row>
    <row r="5" spans="1:35" s="122" customFormat="1" ht="22.5" customHeight="1" x14ac:dyDescent="0.25">
      <c r="A5" s="261" t="s">
        <v>4</v>
      </c>
      <c r="B5" s="261"/>
      <c r="C5" s="261"/>
      <c r="D5" s="261"/>
      <c r="E5" s="261"/>
      <c r="F5" s="261"/>
      <c r="G5" s="285" t="s">
        <v>5</v>
      </c>
      <c r="H5" s="285"/>
      <c r="I5" s="285"/>
      <c r="J5" s="285"/>
      <c r="K5" s="285"/>
      <c r="L5" s="285"/>
      <c r="M5" s="285"/>
      <c r="N5" s="285"/>
      <c r="O5" s="285"/>
      <c r="P5" s="285"/>
      <c r="AA5" s="124" t="s">
        <v>5</v>
      </c>
    </row>
    <row r="6" spans="1:35" s="122" customFormat="1" ht="45" customHeight="1" x14ac:dyDescent="0.25">
      <c r="A6" s="261" t="s">
        <v>6</v>
      </c>
      <c r="B6" s="261"/>
      <c r="C6" s="261"/>
      <c r="D6" s="261"/>
      <c r="E6" s="261"/>
      <c r="F6" s="261"/>
      <c r="G6" s="285" t="s">
        <v>7</v>
      </c>
      <c r="H6" s="285"/>
      <c r="I6" s="285"/>
      <c r="J6" s="285"/>
      <c r="K6" s="285"/>
      <c r="L6" s="285"/>
      <c r="M6" s="285"/>
      <c r="N6" s="285"/>
      <c r="O6" s="285"/>
      <c r="P6" s="285"/>
      <c r="AB6" s="124" t="s">
        <v>7</v>
      </c>
    </row>
    <row r="7" spans="1:35" s="122" customFormat="1" ht="67.5" customHeight="1" x14ac:dyDescent="0.25">
      <c r="A7" s="286" t="s">
        <v>8</v>
      </c>
      <c r="B7" s="286"/>
      <c r="C7" s="286"/>
      <c r="D7" s="286"/>
      <c r="E7" s="286"/>
      <c r="F7" s="286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125" t="s">
        <v>8</v>
      </c>
      <c r="R7" s="126"/>
      <c r="S7" s="124"/>
      <c r="T7" s="124"/>
      <c r="U7" s="124"/>
      <c r="V7" s="124"/>
      <c r="W7" s="124"/>
      <c r="X7" s="124"/>
      <c r="Y7" s="124"/>
      <c r="Z7" s="124"/>
      <c r="AC7" s="124" t="s">
        <v>9</v>
      </c>
    </row>
    <row r="8" spans="1:35" s="122" customFormat="1" ht="33.75" customHeight="1" x14ac:dyDescent="0.25">
      <c r="A8" s="261" t="s">
        <v>10</v>
      </c>
      <c r="B8" s="261"/>
      <c r="C8" s="261"/>
      <c r="D8" s="261"/>
      <c r="E8" s="261"/>
      <c r="F8" s="261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125" t="s">
        <v>10</v>
      </c>
      <c r="R8" s="126"/>
      <c r="S8" s="124"/>
      <c r="T8" s="124"/>
      <c r="U8" s="124"/>
      <c r="V8" s="124"/>
      <c r="W8" s="124"/>
      <c r="X8" s="124"/>
      <c r="Y8" s="124"/>
      <c r="Z8" s="124"/>
      <c r="AD8" s="124" t="s">
        <v>9</v>
      </c>
    </row>
    <row r="9" spans="1:35" s="122" customFormat="1" ht="11.25" customHeight="1" x14ac:dyDescent="0.25">
      <c r="A9" s="261" t="s">
        <v>11</v>
      </c>
      <c r="B9" s="261"/>
      <c r="C9" s="261"/>
      <c r="D9" s="261"/>
      <c r="E9" s="261"/>
      <c r="F9" s="261"/>
      <c r="G9" s="285"/>
      <c r="H9" s="285"/>
      <c r="I9" s="285"/>
      <c r="J9" s="285"/>
      <c r="K9" s="285"/>
      <c r="L9" s="285"/>
      <c r="M9" s="285"/>
      <c r="N9" s="285"/>
      <c r="O9" s="285"/>
      <c r="P9" s="285"/>
      <c r="AE9" s="124" t="s">
        <v>9</v>
      </c>
    </row>
    <row r="10" spans="1:35" s="122" customFormat="1" ht="11.25" customHeight="1" x14ac:dyDescent="0.25">
      <c r="A10" s="261" t="s">
        <v>12</v>
      </c>
      <c r="B10" s="261"/>
      <c r="C10" s="261"/>
      <c r="D10" s="261"/>
      <c r="E10" s="261"/>
      <c r="F10" s="261"/>
      <c r="G10" s="285" t="s">
        <v>13</v>
      </c>
      <c r="H10" s="285"/>
      <c r="I10" s="285"/>
      <c r="J10" s="285"/>
      <c r="K10" s="285"/>
      <c r="L10" s="285"/>
      <c r="M10" s="285"/>
      <c r="N10" s="285"/>
      <c r="O10" s="285"/>
      <c r="P10" s="285"/>
      <c r="R10" s="127" t="s">
        <v>13</v>
      </c>
      <c r="AF10" s="124" t="s">
        <v>13</v>
      </c>
    </row>
    <row r="11" spans="1:35" s="122" customFormat="1" ht="15" x14ac:dyDescent="0.25">
      <c r="A11" s="261" t="s">
        <v>14</v>
      </c>
      <c r="B11" s="261"/>
      <c r="C11" s="261"/>
      <c r="D11" s="261"/>
      <c r="E11" s="261"/>
      <c r="F11" s="261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AG11" s="124" t="s">
        <v>9</v>
      </c>
    </row>
    <row r="12" spans="1:35" s="122" customFormat="1" ht="6" customHeight="1" x14ac:dyDescent="0.25">
      <c r="A12" s="128"/>
      <c r="B12" s="123"/>
      <c r="C12" s="123"/>
      <c r="D12" s="123"/>
      <c r="E12" s="123"/>
      <c r="F12" s="129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35" s="122" customFormat="1" ht="15" x14ac:dyDescent="0.25">
      <c r="A13" s="281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AH13" s="124" t="s">
        <v>9</v>
      </c>
    </row>
    <row r="14" spans="1:35" s="122" customFormat="1" ht="15" customHeight="1" x14ac:dyDescent="0.25">
      <c r="A14" s="282" t="s">
        <v>15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</row>
    <row r="15" spans="1:35" s="122" customFormat="1" ht="6" customHeight="1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1:35" s="122" customFormat="1" ht="15" x14ac:dyDescent="0.25">
      <c r="A16" s="281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AI16" s="124" t="s">
        <v>9</v>
      </c>
    </row>
    <row r="17" spans="1:38" s="122" customFormat="1" ht="15" x14ac:dyDescent="0.25">
      <c r="A17" s="282" t="s">
        <v>16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</row>
    <row r="18" spans="1:38" s="122" customFormat="1" ht="17.25" customHeight="1" x14ac:dyDescent="0.25">
      <c r="A18" s="283" t="s">
        <v>17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</row>
    <row r="19" spans="1:38" s="122" customFormat="1" ht="8.25" customHeight="1" x14ac:dyDescent="0.25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</row>
    <row r="20" spans="1:38" s="122" customFormat="1" ht="15" x14ac:dyDescent="0.25">
      <c r="A20" s="281" t="s">
        <v>193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AJ20" s="124" t="s">
        <v>193</v>
      </c>
    </row>
    <row r="21" spans="1:38" s="122" customFormat="1" ht="11.25" customHeight="1" x14ac:dyDescent="0.25">
      <c r="A21" s="282" t="s">
        <v>19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</row>
    <row r="22" spans="1:38" s="122" customFormat="1" ht="12" customHeight="1" x14ac:dyDescent="0.25">
      <c r="A22" s="123" t="s">
        <v>20</v>
      </c>
      <c r="B22" s="133" t="s">
        <v>21</v>
      </c>
      <c r="C22" s="120" t="s">
        <v>22</v>
      </c>
      <c r="D22" s="120"/>
      <c r="E22" s="120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38" s="122" customFormat="1" ht="15" x14ac:dyDescent="0.25">
      <c r="A23" s="123" t="s">
        <v>23</v>
      </c>
      <c r="B23" s="284"/>
      <c r="C23" s="284"/>
      <c r="D23" s="284"/>
      <c r="E23" s="284"/>
      <c r="F23" s="28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AK23" s="124" t="s">
        <v>9</v>
      </c>
    </row>
    <row r="24" spans="1:38" s="122" customFormat="1" ht="10.5" customHeight="1" x14ac:dyDescent="0.25">
      <c r="A24" s="123"/>
      <c r="B24" s="275" t="s">
        <v>24</v>
      </c>
      <c r="C24" s="275"/>
      <c r="D24" s="275"/>
      <c r="E24" s="275"/>
      <c r="F24" s="275"/>
      <c r="G24" s="135"/>
      <c r="H24" s="135"/>
      <c r="I24" s="135"/>
      <c r="J24" s="135"/>
      <c r="K24" s="135"/>
      <c r="L24" s="135"/>
      <c r="M24" s="135"/>
      <c r="N24" s="135"/>
      <c r="O24" s="136"/>
      <c r="P24" s="135"/>
    </row>
    <row r="25" spans="1:38" s="122" customFormat="1" ht="9.75" customHeight="1" x14ac:dyDescent="0.25">
      <c r="A25" s="123"/>
      <c r="B25" s="123"/>
      <c r="C25" s="123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5"/>
      <c r="P25" s="135"/>
    </row>
    <row r="26" spans="1:38" s="122" customFormat="1" ht="15" x14ac:dyDescent="0.25">
      <c r="A26" s="138" t="s">
        <v>25</v>
      </c>
      <c r="B26" s="139"/>
      <c r="C26" s="276"/>
      <c r="D26" s="276"/>
      <c r="E26" s="276"/>
      <c r="F26" s="276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AL26" s="124" t="s">
        <v>9</v>
      </c>
    </row>
    <row r="27" spans="1:38" s="122" customFormat="1" ht="9.75" customHeight="1" x14ac:dyDescent="0.25">
      <c r="A27" s="123"/>
      <c r="B27" s="139"/>
      <c r="C27" s="140"/>
      <c r="D27" s="141"/>
      <c r="E27" s="141"/>
      <c r="F27" s="141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1:38" s="122" customFormat="1" ht="12" customHeight="1" x14ac:dyDescent="0.25">
      <c r="A28" s="138" t="s">
        <v>26</v>
      </c>
      <c r="B28" s="139"/>
      <c r="C28" s="143"/>
      <c r="D28" s="144">
        <v>3158.22</v>
      </c>
      <c r="E28" s="145" t="s">
        <v>27</v>
      </c>
      <c r="G28" s="139"/>
      <c r="H28" s="139"/>
      <c r="I28" s="139"/>
      <c r="J28" s="139"/>
      <c r="K28" s="139"/>
      <c r="L28" s="139"/>
      <c r="M28" s="139"/>
      <c r="N28" s="146"/>
      <c r="O28" s="146"/>
      <c r="P28" s="139"/>
    </row>
    <row r="29" spans="1:38" s="122" customFormat="1" ht="12" customHeight="1" x14ac:dyDescent="0.25">
      <c r="A29" s="123"/>
      <c r="B29" s="147" t="s">
        <v>28</v>
      </c>
      <c r="C29" s="148"/>
      <c r="D29" s="149"/>
      <c r="E29" s="145"/>
      <c r="G29" s="139"/>
    </row>
    <row r="30" spans="1:38" s="122" customFormat="1" ht="12" customHeight="1" x14ac:dyDescent="0.25">
      <c r="A30" s="123"/>
      <c r="B30" s="150" t="s">
        <v>29</v>
      </c>
      <c r="C30" s="143"/>
      <c r="D30" s="144">
        <v>3158.22</v>
      </c>
      <c r="E30" s="145" t="s">
        <v>27</v>
      </c>
      <c r="I30" s="139"/>
      <c r="K30" s="139" t="s">
        <v>30</v>
      </c>
      <c r="L30" s="139"/>
      <c r="M30" s="139"/>
      <c r="N30" s="151"/>
      <c r="O30" s="144">
        <v>549.91999999999996</v>
      </c>
      <c r="P30" s="145" t="s">
        <v>27</v>
      </c>
    </row>
    <row r="31" spans="1:38" s="122" customFormat="1" ht="12" customHeight="1" x14ac:dyDescent="0.25">
      <c r="A31" s="123"/>
      <c r="B31" s="150" t="s">
        <v>31</v>
      </c>
      <c r="C31" s="152"/>
      <c r="D31" s="153">
        <v>0</v>
      </c>
      <c r="E31" s="145" t="s">
        <v>27</v>
      </c>
      <c r="I31" s="139"/>
      <c r="K31" s="139" t="s">
        <v>32</v>
      </c>
      <c r="L31" s="139"/>
      <c r="M31" s="139"/>
      <c r="N31" s="151"/>
      <c r="O31" s="144">
        <v>0</v>
      </c>
      <c r="P31" s="145" t="s">
        <v>27</v>
      </c>
    </row>
    <row r="32" spans="1:38" s="122" customFormat="1" ht="12" customHeight="1" x14ac:dyDescent="0.25">
      <c r="A32" s="123"/>
      <c r="B32" s="150" t="s">
        <v>33</v>
      </c>
      <c r="C32" s="152"/>
      <c r="D32" s="153">
        <v>0</v>
      </c>
      <c r="E32" s="145" t="s">
        <v>27</v>
      </c>
      <c r="I32" s="139"/>
      <c r="K32" s="139" t="s">
        <v>34</v>
      </c>
      <c r="L32" s="139"/>
      <c r="M32" s="139"/>
      <c r="N32" s="154"/>
      <c r="O32" s="153">
        <v>1463.2</v>
      </c>
      <c r="P32" s="155" t="s">
        <v>35</v>
      </c>
    </row>
    <row r="33" spans="1:53" s="122" customFormat="1" ht="12" customHeight="1" x14ac:dyDescent="0.25">
      <c r="A33" s="123"/>
      <c r="B33" s="150" t="s">
        <v>36</v>
      </c>
      <c r="C33" s="152"/>
      <c r="D33" s="144">
        <v>0</v>
      </c>
      <c r="E33" s="145" t="s">
        <v>27</v>
      </c>
      <c r="I33" s="139"/>
      <c r="K33" s="139" t="s">
        <v>37</v>
      </c>
      <c r="L33" s="139"/>
      <c r="M33" s="139"/>
      <c r="N33" s="154"/>
      <c r="O33" s="153">
        <v>49.59</v>
      </c>
      <c r="P33" s="155" t="s">
        <v>35</v>
      </c>
    </row>
    <row r="34" spans="1:53" s="122" customFormat="1" ht="15" x14ac:dyDescent="0.25">
      <c r="A34" s="123"/>
      <c r="B34" s="139"/>
      <c r="D34" s="156"/>
      <c r="E34" s="145"/>
      <c r="H34" s="139"/>
      <c r="I34" s="139"/>
      <c r="J34" s="139"/>
      <c r="K34" s="139"/>
      <c r="L34" s="139"/>
      <c r="M34" s="139"/>
      <c r="N34" s="157" t="s">
        <v>243</v>
      </c>
      <c r="O34" s="158">
        <v>100</v>
      </c>
      <c r="P34" s="159" t="s">
        <v>244</v>
      </c>
    </row>
    <row r="35" spans="1:53" s="122" customFormat="1" ht="11.25" customHeight="1" x14ac:dyDescent="0.25">
      <c r="A35" s="277" t="s">
        <v>38</v>
      </c>
      <c r="B35" s="265" t="s">
        <v>39</v>
      </c>
      <c r="C35" s="266" t="s">
        <v>40</v>
      </c>
      <c r="D35" s="267"/>
      <c r="E35" s="267"/>
      <c r="F35" s="267"/>
      <c r="G35" s="268"/>
      <c r="H35" s="265" t="s">
        <v>41</v>
      </c>
      <c r="I35" s="265" t="s">
        <v>42</v>
      </c>
      <c r="J35" s="265"/>
      <c r="K35" s="265"/>
      <c r="L35" s="266" t="s">
        <v>43</v>
      </c>
      <c r="M35" s="267"/>
      <c r="N35" s="267"/>
      <c r="O35" s="267"/>
      <c r="P35" s="268"/>
    </row>
    <row r="36" spans="1:53" s="122" customFormat="1" ht="11.25" customHeight="1" x14ac:dyDescent="0.25">
      <c r="A36" s="277"/>
      <c r="B36" s="265"/>
      <c r="C36" s="278"/>
      <c r="D36" s="279"/>
      <c r="E36" s="279"/>
      <c r="F36" s="279"/>
      <c r="G36" s="280"/>
      <c r="H36" s="265"/>
      <c r="I36" s="265"/>
      <c r="J36" s="265"/>
      <c r="K36" s="265"/>
      <c r="L36" s="269"/>
      <c r="M36" s="270"/>
      <c r="N36" s="270"/>
      <c r="O36" s="270"/>
      <c r="P36" s="271"/>
    </row>
    <row r="37" spans="1:53" s="122" customFormat="1" ht="54" customHeight="1" x14ac:dyDescent="0.25">
      <c r="A37" s="277"/>
      <c r="B37" s="265"/>
      <c r="C37" s="269"/>
      <c r="D37" s="270"/>
      <c r="E37" s="270"/>
      <c r="F37" s="270"/>
      <c r="G37" s="271"/>
      <c r="H37" s="265"/>
      <c r="I37" s="160" t="s">
        <v>44</v>
      </c>
      <c r="J37" s="160" t="s">
        <v>45</v>
      </c>
      <c r="K37" s="160" t="s">
        <v>46</v>
      </c>
      <c r="L37" s="160" t="s">
        <v>47</v>
      </c>
      <c r="M37" s="160" t="s">
        <v>48</v>
      </c>
      <c r="N37" s="160" t="s">
        <v>49</v>
      </c>
      <c r="O37" s="160" t="s">
        <v>45</v>
      </c>
      <c r="P37" s="160" t="s">
        <v>50</v>
      </c>
    </row>
    <row r="38" spans="1:53" s="122" customFormat="1" ht="13.5" customHeight="1" x14ac:dyDescent="0.25">
      <c r="A38" s="161">
        <v>1</v>
      </c>
      <c r="B38" s="162">
        <v>2</v>
      </c>
      <c r="C38" s="272">
        <v>3</v>
      </c>
      <c r="D38" s="273"/>
      <c r="E38" s="273"/>
      <c r="F38" s="273"/>
      <c r="G38" s="274"/>
      <c r="H38" s="162">
        <v>4</v>
      </c>
      <c r="I38" s="162">
        <v>5</v>
      </c>
      <c r="J38" s="162">
        <v>6</v>
      </c>
      <c r="K38" s="162">
        <v>7</v>
      </c>
      <c r="L38" s="162">
        <v>8</v>
      </c>
      <c r="M38" s="162">
        <v>9</v>
      </c>
      <c r="N38" s="162">
        <v>10</v>
      </c>
      <c r="O38" s="162">
        <v>11</v>
      </c>
      <c r="P38" s="162">
        <v>12</v>
      </c>
    </row>
    <row r="39" spans="1:53" s="139" customFormat="1" ht="15" x14ac:dyDescent="0.25">
      <c r="A39" s="262" t="s">
        <v>194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4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63" t="s">
        <v>194</v>
      </c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</row>
    <row r="40" spans="1:53" s="139" customFormat="1" ht="15" x14ac:dyDescent="0.25">
      <c r="A40" s="262" t="s">
        <v>52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4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63"/>
      <c r="AN40" s="163" t="s">
        <v>52</v>
      </c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</row>
    <row r="41" spans="1:53" s="139" customFormat="1" ht="23.25" x14ac:dyDescent="0.25">
      <c r="A41" s="164" t="s">
        <v>53</v>
      </c>
      <c r="B41" s="165" t="s">
        <v>160</v>
      </c>
      <c r="C41" s="260" t="s">
        <v>161</v>
      </c>
      <c r="D41" s="260"/>
      <c r="E41" s="260"/>
      <c r="F41" s="260"/>
      <c r="G41" s="260"/>
      <c r="H41" s="166" t="s">
        <v>162</v>
      </c>
      <c r="I41" s="167">
        <f>0.047/100*$O$34</f>
        <v>4.7E-2</v>
      </c>
      <c r="J41" s="168">
        <v>1</v>
      </c>
      <c r="K41" s="169">
        <v>4.7E-2</v>
      </c>
      <c r="L41" s="170"/>
      <c r="M41" s="167"/>
      <c r="N41" s="170"/>
      <c r="O41" s="167"/>
      <c r="P41" s="171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63"/>
      <c r="AN41" s="163"/>
      <c r="AO41" s="163" t="s">
        <v>161</v>
      </c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</row>
    <row r="42" spans="1:53" s="139" customFormat="1" ht="15" x14ac:dyDescent="0.25">
      <c r="A42" s="172"/>
      <c r="B42" s="173"/>
      <c r="C42" s="259" t="s">
        <v>57</v>
      </c>
      <c r="D42" s="259"/>
      <c r="E42" s="259"/>
      <c r="F42" s="259"/>
      <c r="G42" s="259"/>
      <c r="H42" s="166"/>
      <c r="I42" s="167"/>
      <c r="J42" s="167"/>
      <c r="K42" s="167"/>
      <c r="L42" s="170"/>
      <c r="M42" s="167"/>
      <c r="N42" s="174"/>
      <c r="O42" s="167"/>
      <c r="P42" s="175">
        <f>1179/100*$O$34</f>
        <v>1179</v>
      </c>
      <c r="Q42" s="176"/>
      <c r="R42" s="176"/>
      <c r="S42" s="122"/>
      <c r="T42" s="122"/>
      <c r="U42" s="122"/>
      <c r="V42" s="122"/>
      <c r="W42" s="122"/>
      <c r="X42" s="122"/>
      <c r="Y42" s="122"/>
      <c r="Z42" s="122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63"/>
      <c r="AN42" s="163"/>
      <c r="AO42" s="163"/>
      <c r="AP42" s="163" t="s">
        <v>57</v>
      </c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</row>
    <row r="43" spans="1:53" s="139" customFormat="1" ht="15" x14ac:dyDescent="0.25">
      <c r="A43" s="177"/>
      <c r="B43" s="178"/>
      <c r="C43" s="261" t="s">
        <v>58</v>
      </c>
      <c r="D43" s="261"/>
      <c r="E43" s="261"/>
      <c r="F43" s="261"/>
      <c r="G43" s="261"/>
      <c r="H43" s="179"/>
      <c r="I43" s="180"/>
      <c r="J43" s="180"/>
      <c r="K43" s="180"/>
      <c r="L43" s="181"/>
      <c r="M43" s="180"/>
      <c r="N43" s="181"/>
      <c r="O43" s="180"/>
      <c r="P43" s="182">
        <f>120/100*$O$34</f>
        <v>120</v>
      </c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63"/>
      <c r="AN43" s="163"/>
      <c r="AO43" s="163"/>
      <c r="AP43" s="163"/>
      <c r="AQ43" s="124" t="s">
        <v>58</v>
      </c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</row>
    <row r="44" spans="1:53" s="139" customFormat="1" ht="23.25" x14ac:dyDescent="0.25">
      <c r="A44" s="177"/>
      <c r="B44" s="178" t="s">
        <v>73</v>
      </c>
      <c r="C44" s="261" t="s">
        <v>74</v>
      </c>
      <c r="D44" s="261"/>
      <c r="E44" s="261"/>
      <c r="F44" s="261"/>
      <c r="G44" s="261"/>
      <c r="H44" s="179" t="s">
        <v>61</v>
      </c>
      <c r="I44" s="183">
        <v>92</v>
      </c>
      <c r="J44" s="180"/>
      <c r="K44" s="183">
        <v>92</v>
      </c>
      <c r="L44" s="181"/>
      <c r="M44" s="180"/>
      <c r="N44" s="181"/>
      <c r="O44" s="180"/>
      <c r="P44" s="184">
        <f>P43*K44%</f>
        <v>110.4</v>
      </c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63"/>
      <c r="AN44" s="163"/>
      <c r="AO44" s="163"/>
      <c r="AP44" s="163"/>
      <c r="AQ44" s="124" t="s">
        <v>74</v>
      </c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</row>
    <row r="45" spans="1:53" s="139" customFormat="1" ht="23.25" x14ac:dyDescent="0.25">
      <c r="A45" s="177"/>
      <c r="B45" s="178" t="s">
        <v>75</v>
      </c>
      <c r="C45" s="261" t="s">
        <v>76</v>
      </c>
      <c r="D45" s="261"/>
      <c r="E45" s="261"/>
      <c r="F45" s="261"/>
      <c r="G45" s="261"/>
      <c r="H45" s="179" t="s">
        <v>61</v>
      </c>
      <c r="I45" s="183">
        <v>46</v>
      </c>
      <c r="J45" s="180"/>
      <c r="K45" s="183">
        <v>46</v>
      </c>
      <c r="L45" s="181"/>
      <c r="M45" s="180"/>
      <c r="N45" s="181"/>
      <c r="O45" s="180"/>
      <c r="P45" s="184">
        <f>P43*K45%</f>
        <v>55.2</v>
      </c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63"/>
      <c r="AN45" s="163"/>
      <c r="AO45" s="163"/>
      <c r="AP45" s="163"/>
      <c r="AQ45" s="124" t="s">
        <v>76</v>
      </c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</row>
    <row r="46" spans="1:53" s="139" customFormat="1" ht="15" x14ac:dyDescent="0.25">
      <c r="A46" s="185"/>
      <c r="B46" s="186"/>
      <c r="C46" s="259" t="s">
        <v>64</v>
      </c>
      <c r="D46" s="259"/>
      <c r="E46" s="259"/>
      <c r="F46" s="259"/>
      <c r="G46" s="259"/>
      <c r="H46" s="166"/>
      <c r="I46" s="167"/>
      <c r="J46" s="167"/>
      <c r="K46" s="167"/>
      <c r="L46" s="170"/>
      <c r="M46" s="167"/>
      <c r="N46" s="174">
        <v>28595.74</v>
      </c>
      <c r="O46" s="167"/>
      <c r="P46" s="175">
        <f>P42+P44+P45</f>
        <v>1344.6000000000001</v>
      </c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63"/>
      <c r="AN46" s="163"/>
      <c r="AO46" s="163"/>
      <c r="AP46" s="163"/>
      <c r="AQ46" s="124"/>
      <c r="AR46" s="163" t="s">
        <v>64</v>
      </c>
      <c r="AS46" s="124"/>
      <c r="AT46" s="124"/>
      <c r="AU46" s="124"/>
      <c r="AV46" s="124"/>
      <c r="AW46" s="124"/>
      <c r="AX46" s="124"/>
      <c r="AY46" s="124"/>
      <c r="AZ46" s="124"/>
      <c r="BA46" s="124"/>
    </row>
    <row r="47" spans="1:53" s="139" customFormat="1" ht="23.25" x14ac:dyDescent="0.25">
      <c r="A47" s="164" t="s">
        <v>65</v>
      </c>
      <c r="B47" s="165" t="s">
        <v>54</v>
      </c>
      <c r="C47" s="260" t="s">
        <v>55</v>
      </c>
      <c r="D47" s="260"/>
      <c r="E47" s="260"/>
      <c r="F47" s="260"/>
      <c r="G47" s="260"/>
      <c r="H47" s="166" t="s">
        <v>56</v>
      </c>
      <c r="I47" s="167">
        <f>0.05/100*$O$34</f>
        <v>0.05</v>
      </c>
      <c r="J47" s="168">
        <v>1</v>
      </c>
      <c r="K47" s="187">
        <v>0.05</v>
      </c>
      <c r="L47" s="170"/>
      <c r="M47" s="167"/>
      <c r="N47" s="170"/>
      <c r="O47" s="167"/>
      <c r="P47" s="171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63"/>
      <c r="AN47" s="163"/>
      <c r="AO47" s="163" t="s">
        <v>55</v>
      </c>
      <c r="AP47" s="163"/>
      <c r="AQ47" s="124"/>
      <c r="AR47" s="163"/>
      <c r="AS47" s="124"/>
      <c r="AT47" s="124"/>
      <c r="AU47" s="124"/>
      <c r="AV47" s="124"/>
      <c r="AW47" s="124"/>
      <c r="AX47" s="124"/>
      <c r="AY47" s="124"/>
      <c r="AZ47" s="124"/>
      <c r="BA47" s="124"/>
    </row>
    <row r="48" spans="1:53" s="139" customFormat="1" ht="15" x14ac:dyDescent="0.25">
      <c r="A48" s="172"/>
      <c r="B48" s="173"/>
      <c r="C48" s="259" t="s">
        <v>57</v>
      </c>
      <c r="D48" s="259"/>
      <c r="E48" s="259"/>
      <c r="F48" s="259"/>
      <c r="G48" s="259"/>
      <c r="H48" s="166"/>
      <c r="I48" s="167"/>
      <c r="J48" s="167"/>
      <c r="K48" s="167"/>
      <c r="L48" s="170"/>
      <c r="M48" s="167"/>
      <c r="N48" s="174"/>
      <c r="O48" s="167"/>
      <c r="P48" s="175">
        <f>2135/100*$O$34</f>
        <v>2135</v>
      </c>
      <c r="Q48" s="176"/>
      <c r="R48" s="176"/>
      <c r="S48" s="122"/>
      <c r="T48" s="122"/>
      <c r="U48" s="122"/>
      <c r="V48" s="122"/>
      <c r="W48" s="122"/>
      <c r="X48" s="122"/>
      <c r="Y48" s="122"/>
      <c r="Z48" s="122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63"/>
      <c r="AN48" s="163"/>
      <c r="AO48" s="163"/>
      <c r="AP48" s="163" t="s">
        <v>57</v>
      </c>
      <c r="AQ48" s="124"/>
      <c r="AR48" s="163"/>
      <c r="AS48" s="124"/>
      <c r="AT48" s="124"/>
      <c r="AU48" s="124"/>
      <c r="AV48" s="124"/>
      <c r="AW48" s="124"/>
      <c r="AX48" s="124"/>
      <c r="AY48" s="124"/>
      <c r="AZ48" s="124"/>
      <c r="BA48" s="124"/>
    </row>
    <row r="49" spans="1:53" s="139" customFormat="1" ht="15" x14ac:dyDescent="0.25">
      <c r="A49" s="177"/>
      <c r="B49" s="178"/>
      <c r="C49" s="261" t="s">
        <v>58</v>
      </c>
      <c r="D49" s="261"/>
      <c r="E49" s="261"/>
      <c r="F49" s="261"/>
      <c r="G49" s="261"/>
      <c r="H49" s="179"/>
      <c r="I49" s="180"/>
      <c r="J49" s="180"/>
      <c r="K49" s="180"/>
      <c r="L49" s="181"/>
      <c r="M49" s="180"/>
      <c r="N49" s="181"/>
      <c r="O49" s="180"/>
      <c r="P49" s="184">
        <f>2135/100*$O$34</f>
        <v>2135</v>
      </c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63"/>
      <c r="AN49" s="163"/>
      <c r="AO49" s="163"/>
      <c r="AP49" s="163"/>
      <c r="AQ49" s="124" t="s">
        <v>58</v>
      </c>
      <c r="AR49" s="163"/>
      <c r="AS49" s="124"/>
      <c r="AT49" s="124"/>
      <c r="AU49" s="124"/>
      <c r="AV49" s="124"/>
      <c r="AW49" s="124"/>
      <c r="AX49" s="124"/>
      <c r="AY49" s="124"/>
      <c r="AZ49" s="124"/>
      <c r="BA49" s="124"/>
    </row>
    <row r="50" spans="1:53" s="139" customFormat="1" ht="15" x14ac:dyDescent="0.25">
      <c r="A50" s="177"/>
      <c r="B50" s="178" t="s">
        <v>59</v>
      </c>
      <c r="C50" s="261" t="s">
        <v>60</v>
      </c>
      <c r="D50" s="261"/>
      <c r="E50" s="261"/>
      <c r="F50" s="261"/>
      <c r="G50" s="261"/>
      <c r="H50" s="179" t="s">
        <v>61</v>
      </c>
      <c r="I50" s="183">
        <v>89</v>
      </c>
      <c r="J50" s="180"/>
      <c r="K50" s="183">
        <v>89</v>
      </c>
      <c r="L50" s="181"/>
      <c r="M50" s="180"/>
      <c r="N50" s="181"/>
      <c r="O50" s="180"/>
      <c r="P50" s="184">
        <f>P49*K50%</f>
        <v>1900.15</v>
      </c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63"/>
      <c r="AN50" s="163"/>
      <c r="AO50" s="163"/>
      <c r="AP50" s="163"/>
      <c r="AQ50" s="124" t="s">
        <v>60</v>
      </c>
      <c r="AR50" s="163"/>
      <c r="AS50" s="124"/>
      <c r="AT50" s="124"/>
      <c r="AU50" s="124"/>
      <c r="AV50" s="124"/>
      <c r="AW50" s="124"/>
      <c r="AX50" s="124"/>
      <c r="AY50" s="124"/>
      <c r="AZ50" s="124"/>
      <c r="BA50" s="124"/>
    </row>
    <row r="51" spans="1:53" s="139" customFormat="1" ht="15" x14ac:dyDescent="0.25">
      <c r="A51" s="177"/>
      <c r="B51" s="178" t="s">
        <v>62</v>
      </c>
      <c r="C51" s="261" t="s">
        <v>63</v>
      </c>
      <c r="D51" s="261"/>
      <c r="E51" s="261"/>
      <c r="F51" s="261"/>
      <c r="G51" s="261"/>
      <c r="H51" s="179" t="s">
        <v>61</v>
      </c>
      <c r="I51" s="183">
        <v>40</v>
      </c>
      <c r="J51" s="180"/>
      <c r="K51" s="183">
        <v>40</v>
      </c>
      <c r="L51" s="181"/>
      <c r="M51" s="180"/>
      <c r="N51" s="181"/>
      <c r="O51" s="180"/>
      <c r="P51" s="184">
        <f>P49*K51%</f>
        <v>854</v>
      </c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63"/>
      <c r="AN51" s="163"/>
      <c r="AO51" s="163"/>
      <c r="AP51" s="163"/>
      <c r="AQ51" s="124" t="s">
        <v>63</v>
      </c>
      <c r="AR51" s="163"/>
      <c r="AS51" s="124"/>
      <c r="AT51" s="124"/>
      <c r="AU51" s="124"/>
      <c r="AV51" s="124"/>
      <c r="AW51" s="124"/>
      <c r="AX51" s="124"/>
      <c r="AY51" s="124"/>
      <c r="AZ51" s="124"/>
      <c r="BA51" s="124"/>
    </row>
    <row r="52" spans="1:53" s="139" customFormat="1" ht="15" x14ac:dyDescent="0.25">
      <c r="A52" s="185"/>
      <c r="B52" s="186"/>
      <c r="C52" s="259" t="s">
        <v>64</v>
      </c>
      <c r="D52" s="259"/>
      <c r="E52" s="259"/>
      <c r="F52" s="259"/>
      <c r="G52" s="259"/>
      <c r="H52" s="166"/>
      <c r="I52" s="167"/>
      <c r="J52" s="167"/>
      <c r="K52" s="167"/>
      <c r="L52" s="170"/>
      <c r="M52" s="167"/>
      <c r="N52" s="174">
        <v>97780</v>
      </c>
      <c r="O52" s="167"/>
      <c r="P52" s="175">
        <f>P48+P50+P51</f>
        <v>4889.1499999999996</v>
      </c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63"/>
      <c r="AN52" s="163"/>
      <c r="AO52" s="163"/>
      <c r="AP52" s="163"/>
      <c r="AQ52" s="124"/>
      <c r="AR52" s="163" t="s">
        <v>64</v>
      </c>
      <c r="AS52" s="124"/>
      <c r="AT52" s="124"/>
      <c r="AU52" s="124"/>
      <c r="AV52" s="124"/>
      <c r="AW52" s="124"/>
      <c r="AX52" s="124"/>
      <c r="AY52" s="124"/>
      <c r="AZ52" s="124"/>
      <c r="BA52" s="124"/>
    </row>
    <row r="53" spans="1:53" s="139" customFormat="1" ht="23.25" x14ac:dyDescent="0.25">
      <c r="A53" s="164" t="s">
        <v>69</v>
      </c>
      <c r="B53" s="165" t="s">
        <v>66</v>
      </c>
      <c r="C53" s="260" t="s">
        <v>163</v>
      </c>
      <c r="D53" s="260"/>
      <c r="E53" s="260"/>
      <c r="F53" s="260"/>
      <c r="G53" s="260"/>
      <c r="H53" s="166" t="s">
        <v>56</v>
      </c>
      <c r="I53" s="167">
        <f>0.05/100*$O$34</f>
        <v>0.05</v>
      </c>
      <c r="J53" s="168">
        <v>1</v>
      </c>
      <c r="K53" s="187">
        <v>0.05</v>
      </c>
      <c r="L53" s="170"/>
      <c r="M53" s="167"/>
      <c r="N53" s="170"/>
      <c r="O53" s="167"/>
      <c r="P53" s="171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63"/>
      <c r="AN53" s="163"/>
      <c r="AO53" s="163" t="s">
        <v>163</v>
      </c>
      <c r="AP53" s="163"/>
      <c r="AQ53" s="124"/>
      <c r="AR53" s="163"/>
      <c r="AS53" s="124"/>
      <c r="AT53" s="124"/>
      <c r="AU53" s="124"/>
      <c r="AV53" s="124"/>
      <c r="AW53" s="124"/>
      <c r="AX53" s="124"/>
      <c r="AY53" s="124"/>
      <c r="AZ53" s="124"/>
      <c r="BA53" s="124"/>
    </row>
    <row r="54" spans="1:53" s="139" customFormat="1" ht="15" x14ac:dyDescent="0.25">
      <c r="A54" s="172"/>
      <c r="B54" s="173"/>
      <c r="C54" s="259" t="s">
        <v>57</v>
      </c>
      <c r="D54" s="259"/>
      <c r="E54" s="259"/>
      <c r="F54" s="259"/>
      <c r="G54" s="259"/>
      <c r="H54" s="166"/>
      <c r="I54" s="167"/>
      <c r="J54" s="167"/>
      <c r="K54" s="167"/>
      <c r="L54" s="170"/>
      <c r="M54" s="167"/>
      <c r="N54" s="174"/>
      <c r="O54" s="167"/>
      <c r="P54" s="175">
        <f>1535/100*$O$34</f>
        <v>1535</v>
      </c>
      <c r="Q54" s="176"/>
      <c r="R54" s="176"/>
      <c r="S54" s="122"/>
      <c r="T54" s="122"/>
      <c r="U54" s="122"/>
      <c r="V54" s="122"/>
      <c r="W54" s="122"/>
      <c r="X54" s="122"/>
      <c r="Y54" s="122"/>
      <c r="Z54" s="122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63"/>
      <c r="AN54" s="163"/>
      <c r="AO54" s="163"/>
      <c r="AP54" s="163" t="s">
        <v>57</v>
      </c>
      <c r="AQ54" s="124"/>
      <c r="AR54" s="163"/>
      <c r="AS54" s="124"/>
      <c r="AT54" s="124"/>
      <c r="AU54" s="124"/>
      <c r="AV54" s="124"/>
      <c r="AW54" s="124"/>
      <c r="AX54" s="124"/>
      <c r="AY54" s="124"/>
      <c r="AZ54" s="124"/>
      <c r="BA54" s="124"/>
    </row>
    <row r="55" spans="1:53" s="139" customFormat="1" ht="15" x14ac:dyDescent="0.25">
      <c r="A55" s="177"/>
      <c r="B55" s="178"/>
      <c r="C55" s="261" t="s">
        <v>58</v>
      </c>
      <c r="D55" s="261"/>
      <c r="E55" s="261"/>
      <c r="F55" s="261"/>
      <c r="G55" s="261"/>
      <c r="H55" s="179"/>
      <c r="I55" s="180"/>
      <c r="J55" s="180"/>
      <c r="K55" s="180"/>
      <c r="L55" s="181"/>
      <c r="M55" s="180"/>
      <c r="N55" s="181"/>
      <c r="O55" s="180"/>
      <c r="P55" s="184">
        <f>1535/100*$O$34</f>
        <v>1535</v>
      </c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63"/>
      <c r="AN55" s="163"/>
      <c r="AO55" s="163"/>
      <c r="AP55" s="163"/>
      <c r="AQ55" s="124" t="s">
        <v>58</v>
      </c>
      <c r="AR55" s="163"/>
      <c r="AS55" s="124"/>
      <c r="AT55" s="124"/>
      <c r="AU55" s="124"/>
      <c r="AV55" s="124"/>
      <c r="AW55" s="124"/>
      <c r="AX55" s="124"/>
      <c r="AY55" s="124"/>
      <c r="AZ55" s="124"/>
      <c r="BA55" s="124"/>
    </row>
    <row r="56" spans="1:53" s="139" customFormat="1" ht="15" x14ac:dyDescent="0.25">
      <c r="A56" s="177"/>
      <c r="B56" s="178" t="s">
        <v>59</v>
      </c>
      <c r="C56" s="261" t="s">
        <v>60</v>
      </c>
      <c r="D56" s="261"/>
      <c r="E56" s="261"/>
      <c r="F56" s="261"/>
      <c r="G56" s="261"/>
      <c r="H56" s="179" t="s">
        <v>61</v>
      </c>
      <c r="I56" s="183">
        <v>89</v>
      </c>
      <c r="J56" s="180"/>
      <c r="K56" s="183">
        <v>89</v>
      </c>
      <c r="L56" s="181"/>
      <c r="M56" s="180"/>
      <c r="N56" s="181"/>
      <c r="O56" s="180"/>
      <c r="P56" s="184">
        <f>P55*K56%</f>
        <v>1366.15</v>
      </c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63"/>
      <c r="AN56" s="163"/>
      <c r="AO56" s="163"/>
      <c r="AP56" s="163"/>
      <c r="AQ56" s="124" t="s">
        <v>60</v>
      </c>
      <c r="AR56" s="163"/>
      <c r="AS56" s="124"/>
      <c r="AT56" s="124"/>
      <c r="AU56" s="124"/>
      <c r="AV56" s="124"/>
      <c r="AW56" s="124"/>
      <c r="AX56" s="124"/>
      <c r="AY56" s="124"/>
      <c r="AZ56" s="124"/>
      <c r="BA56" s="124"/>
    </row>
    <row r="57" spans="1:53" s="139" customFormat="1" ht="15" x14ac:dyDescent="0.25">
      <c r="A57" s="177"/>
      <c r="B57" s="178" t="s">
        <v>62</v>
      </c>
      <c r="C57" s="261" t="s">
        <v>63</v>
      </c>
      <c r="D57" s="261"/>
      <c r="E57" s="261"/>
      <c r="F57" s="261"/>
      <c r="G57" s="261"/>
      <c r="H57" s="179" t="s">
        <v>61</v>
      </c>
      <c r="I57" s="183">
        <v>40</v>
      </c>
      <c r="J57" s="180"/>
      <c r="K57" s="183">
        <v>40</v>
      </c>
      <c r="L57" s="181"/>
      <c r="M57" s="180"/>
      <c r="N57" s="181"/>
      <c r="O57" s="180"/>
      <c r="P57" s="184">
        <f>P55*K57%</f>
        <v>614</v>
      </c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63"/>
      <c r="AN57" s="163"/>
      <c r="AO57" s="163"/>
      <c r="AP57" s="163"/>
      <c r="AQ57" s="124" t="s">
        <v>63</v>
      </c>
      <c r="AR57" s="163"/>
      <c r="AS57" s="124"/>
      <c r="AT57" s="124"/>
      <c r="AU57" s="124"/>
      <c r="AV57" s="124"/>
      <c r="AW57" s="124"/>
      <c r="AX57" s="124"/>
      <c r="AY57" s="124"/>
      <c r="AZ57" s="124"/>
      <c r="BA57" s="124"/>
    </row>
    <row r="58" spans="1:53" s="139" customFormat="1" ht="15" x14ac:dyDescent="0.25">
      <c r="A58" s="185"/>
      <c r="B58" s="186"/>
      <c r="C58" s="259" t="s">
        <v>64</v>
      </c>
      <c r="D58" s="259"/>
      <c r="E58" s="259"/>
      <c r="F58" s="259"/>
      <c r="G58" s="259"/>
      <c r="H58" s="166"/>
      <c r="I58" s="167"/>
      <c r="J58" s="167"/>
      <c r="K58" s="167"/>
      <c r="L58" s="170"/>
      <c r="M58" s="167"/>
      <c r="N58" s="174">
        <v>70300</v>
      </c>
      <c r="O58" s="167"/>
      <c r="P58" s="175">
        <f>P54+P56+P57</f>
        <v>3515.15</v>
      </c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63"/>
      <c r="AN58" s="163"/>
      <c r="AO58" s="163"/>
      <c r="AP58" s="163"/>
      <c r="AQ58" s="124"/>
      <c r="AR58" s="163" t="s">
        <v>64</v>
      </c>
      <c r="AS58" s="124"/>
      <c r="AT58" s="124"/>
      <c r="AU58" s="124"/>
      <c r="AV58" s="124"/>
      <c r="AW58" s="124"/>
      <c r="AX58" s="124"/>
      <c r="AY58" s="124"/>
      <c r="AZ58" s="124"/>
      <c r="BA58" s="124"/>
    </row>
    <row r="59" spans="1:53" s="139" customFormat="1" ht="23.25" x14ac:dyDescent="0.25">
      <c r="A59" s="164" t="s">
        <v>77</v>
      </c>
      <c r="B59" s="165" t="s">
        <v>164</v>
      </c>
      <c r="C59" s="260" t="s">
        <v>165</v>
      </c>
      <c r="D59" s="260"/>
      <c r="E59" s="260"/>
      <c r="F59" s="260"/>
      <c r="G59" s="260"/>
      <c r="H59" s="166" t="s">
        <v>162</v>
      </c>
      <c r="I59" s="167">
        <f>0.047/100*$O$34</f>
        <v>4.7E-2</v>
      </c>
      <c r="J59" s="168">
        <v>1</v>
      </c>
      <c r="K59" s="169">
        <v>4.7E-2</v>
      </c>
      <c r="L59" s="170"/>
      <c r="M59" s="167"/>
      <c r="N59" s="170"/>
      <c r="O59" s="167"/>
      <c r="P59" s="171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63"/>
      <c r="AN59" s="163"/>
      <c r="AO59" s="163" t="s">
        <v>165</v>
      </c>
      <c r="AP59" s="163"/>
      <c r="AQ59" s="124"/>
      <c r="AR59" s="163"/>
      <c r="AS59" s="124"/>
      <c r="AT59" s="124"/>
      <c r="AU59" s="124"/>
      <c r="AV59" s="124"/>
      <c r="AW59" s="124"/>
      <c r="AX59" s="124"/>
      <c r="AY59" s="124"/>
      <c r="AZ59" s="124"/>
      <c r="BA59" s="124"/>
    </row>
    <row r="60" spans="1:53" s="139" customFormat="1" ht="15" x14ac:dyDescent="0.25">
      <c r="A60" s="172"/>
      <c r="B60" s="173"/>
      <c r="C60" s="259" t="s">
        <v>57</v>
      </c>
      <c r="D60" s="259"/>
      <c r="E60" s="259"/>
      <c r="F60" s="259"/>
      <c r="G60" s="259"/>
      <c r="H60" s="166"/>
      <c r="I60" s="167"/>
      <c r="J60" s="167"/>
      <c r="K60" s="167"/>
      <c r="L60" s="170"/>
      <c r="M60" s="167"/>
      <c r="N60" s="174"/>
      <c r="O60" s="167"/>
      <c r="P60" s="175">
        <f>277/100*$O$34</f>
        <v>277</v>
      </c>
      <c r="Q60" s="176"/>
      <c r="R60" s="176"/>
      <c r="S60" s="122"/>
      <c r="T60" s="122"/>
      <c r="U60" s="122"/>
      <c r="V60" s="122"/>
      <c r="W60" s="122"/>
      <c r="X60" s="122"/>
      <c r="Y60" s="122"/>
      <c r="Z60" s="122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63"/>
      <c r="AN60" s="163"/>
      <c r="AO60" s="163"/>
      <c r="AP60" s="163" t="s">
        <v>57</v>
      </c>
      <c r="AQ60" s="124"/>
      <c r="AR60" s="163"/>
      <c r="AS60" s="124"/>
      <c r="AT60" s="124"/>
      <c r="AU60" s="124"/>
      <c r="AV60" s="124"/>
      <c r="AW60" s="124"/>
      <c r="AX60" s="124"/>
      <c r="AY60" s="124"/>
      <c r="AZ60" s="124"/>
      <c r="BA60" s="124"/>
    </row>
    <row r="61" spans="1:53" s="139" customFormat="1" ht="15" x14ac:dyDescent="0.25">
      <c r="A61" s="177"/>
      <c r="B61" s="178"/>
      <c r="C61" s="261" t="s">
        <v>58</v>
      </c>
      <c r="D61" s="261"/>
      <c r="E61" s="261"/>
      <c r="F61" s="261"/>
      <c r="G61" s="261"/>
      <c r="H61" s="179"/>
      <c r="I61" s="180"/>
      <c r="J61" s="180"/>
      <c r="K61" s="180"/>
      <c r="L61" s="181"/>
      <c r="M61" s="180"/>
      <c r="N61" s="181"/>
      <c r="O61" s="180"/>
      <c r="P61" s="188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63"/>
      <c r="AN61" s="163"/>
      <c r="AO61" s="163"/>
      <c r="AP61" s="163"/>
      <c r="AQ61" s="124" t="s">
        <v>58</v>
      </c>
      <c r="AR61" s="163"/>
      <c r="AS61" s="124"/>
      <c r="AT61" s="124"/>
      <c r="AU61" s="124"/>
      <c r="AV61" s="124"/>
      <c r="AW61" s="124"/>
      <c r="AX61" s="124"/>
      <c r="AY61" s="124"/>
      <c r="AZ61" s="124"/>
      <c r="BA61" s="124"/>
    </row>
    <row r="62" spans="1:53" s="139" customFormat="1" ht="23.25" x14ac:dyDescent="0.25">
      <c r="A62" s="177"/>
      <c r="B62" s="178" t="s">
        <v>73</v>
      </c>
      <c r="C62" s="261" t="s">
        <v>74</v>
      </c>
      <c r="D62" s="261"/>
      <c r="E62" s="261"/>
      <c r="F62" s="261"/>
      <c r="G62" s="261"/>
      <c r="H62" s="179" t="s">
        <v>61</v>
      </c>
      <c r="I62" s="183">
        <v>92</v>
      </c>
      <c r="J62" s="180"/>
      <c r="K62" s="183">
        <v>92</v>
      </c>
      <c r="L62" s="181"/>
      <c r="M62" s="180"/>
      <c r="N62" s="181"/>
      <c r="O62" s="180"/>
      <c r="P62" s="184">
        <f>P61*K62%</f>
        <v>0</v>
      </c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63"/>
      <c r="AN62" s="163"/>
      <c r="AO62" s="163"/>
      <c r="AP62" s="163"/>
      <c r="AQ62" s="124" t="s">
        <v>74</v>
      </c>
      <c r="AR62" s="163"/>
      <c r="AS62" s="124"/>
      <c r="AT62" s="124"/>
      <c r="AU62" s="124"/>
      <c r="AV62" s="124"/>
      <c r="AW62" s="124"/>
      <c r="AX62" s="124"/>
      <c r="AY62" s="124"/>
      <c r="AZ62" s="124"/>
      <c r="BA62" s="124"/>
    </row>
    <row r="63" spans="1:53" s="139" customFormat="1" ht="23.25" x14ac:dyDescent="0.25">
      <c r="A63" s="177"/>
      <c r="B63" s="178" t="s">
        <v>75</v>
      </c>
      <c r="C63" s="261" t="s">
        <v>76</v>
      </c>
      <c r="D63" s="261"/>
      <c r="E63" s="261"/>
      <c r="F63" s="261"/>
      <c r="G63" s="261"/>
      <c r="H63" s="179" t="s">
        <v>61</v>
      </c>
      <c r="I63" s="183">
        <v>46</v>
      </c>
      <c r="J63" s="180"/>
      <c r="K63" s="183">
        <v>46</v>
      </c>
      <c r="L63" s="181"/>
      <c r="M63" s="180"/>
      <c r="N63" s="181"/>
      <c r="O63" s="180"/>
      <c r="P63" s="184">
        <f>P61*K63%</f>
        <v>0</v>
      </c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63"/>
      <c r="AN63" s="163"/>
      <c r="AO63" s="163"/>
      <c r="AP63" s="163"/>
      <c r="AQ63" s="124" t="s">
        <v>76</v>
      </c>
      <c r="AR63" s="163"/>
      <c r="AS63" s="124"/>
      <c r="AT63" s="124"/>
      <c r="AU63" s="124"/>
      <c r="AV63" s="124"/>
      <c r="AW63" s="124"/>
      <c r="AX63" s="124"/>
      <c r="AY63" s="124"/>
      <c r="AZ63" s="124"/>
      <c r="BA63" s="124"/>
    </row>
    <row r="64" spans="1:53" s="139" customFormat="1" ht="15" x14ac:dyDescent="0.25">
      <c r="A64" s="185"/>
      <c r="B64" s="186"/>
      <c r="C64" s="259" t="s">
        <v>64</v>
      </c>
      <c r="D64" s="259"/>
      <c r="E64" s="259"/>
      <c r="F64" s="259"/>
      <c r="G64" s="259"/>
      <c r="H64" s="166"/>
      <c r="I64" s="167"/>
      <c r="J64" s="167"/>
      <c r="K64" s="167"/>
      <c r="L64" s="170"/>
      <c r="M64" s="167"/>
      <c r="N64" s="174">
        <v>5893.62</v>
      </c>
      <c r="O64" s="167"/>
      <c r="P64" s="175">
        <f>P60+P62+P63</f>
        <v>277</v>
      </c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63"/>
      <c r="AN64" s="163"/>
      <c r="AO64" s="163"/>
      <c r="AP64" s="163"/>
      <c r="AQ64" s="124"/>
      <c r="AR64" s="163" t="s">
        <v>64</v>
      </c>
      <c r="AS64" s="124"/>
      <c r="AT64" s="124"/>
      <c r="AU64" s="124"/>
      <c r="AV64" s="124"/>
      <c r="AW64" s="124"/>
      <c r="AX64" s="124"/>
      <c r="AY64" s="124"/>
      <c r="AZ64" s="124"/>
      <c r="BA64" s="124"/>
    </row>
    <row r="65" spans="1:53" s="139" customFormat="1" ht="15" x14ac:dyDescent="0.25">
      <c r="A65" s="262" t="s">
        <v>68</v>
      </c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4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63"/>
      <c r="AN65" s="163" t="s">
        <v>68</v>
      </c>
      <c r="AO65" s="163"/>
      <c r="AP65" s="163"/>
      <c r="AQ65" s="124"/>
      <c r="AR65" s="163"/>
      <c r="AS65" s="124"/>
      <c r="AT65" s="124"/>
      <c r="AU65" s="124"/>
      <c r="AV65" s="124"/>
      <c r="AW65" s="124"/>
      <c r="AX65" s="124"/>
      <c r="AY65" s="124"/>
      <c r="AZ65" s="124"/>
      <c r="BA65" s="124"/>
    </row>
    <row r="66" spans="1:53" s="139" customFormat="1" ht="23.25" x14ac:dyDescent="0.25">
      <c r="A66" s="164" t="s">
        <v>81</v>
      </c>
      <c r="B66" s="165" t="s">
        <v>70</v>
      </c>
      <c r="C66" s="260" t="s">
        <v>71</v>
      </c>
      <c r="D66" s="260"/>
      <c r="E66" s="260"/>
      <c r="F66" s="260"/>
      <c r="G66" s="260"/>
      <c r="H66" s="166" t="s">
        <v>72</v>
      </c>
      <c r="I66" s="167">
        <f>1.03/100*$O$34</f>
        <v>1.03</v>
      </c>
      <c r="J66" s="168">
        <v>1</v>
      </c>
      <c r="K66" s="187">
        <v>1.03</v>
      </c>
      <c r="L66" s="170"/>
      <c r="M66" s="167"/>
      <c r="N66" s="170"/>
      <c r="O66" s="167"/>
      <c r="P66" s="171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63"/>
      <c r="AN66" s="163"/>
      <c r="AO66" s="163" t="s">
        <v>71</v>
      </c>
      <c r="AP66" s="163"/>
      <c r="AQ66" s="124"/>
      <c r="AR66" s="163"/>
      <c r="AS66" s="124"/>
      <c r="AT66" s="124"/>
      <c r="AU66" s="124"/>
      <c r="AV66" s="124"/>
      <c r="AW66" s="124"/>
      <c r="AX66" s="124"/>
      <c r="AY66" s="124"/>
      <c r="AZ66" s="124"/>
      <c r="BA66" s="124"/>
    </row>
    <row r="67" spans="1:53" s="139" customFormat="1" ht="15" x14ac:dyDescent="0.25">
      <c r="A67" s="172"/>
      <c r="B67" s="173"/>
      <c r="C67" s="259" t="s">
        <v>57</v>
      </c>
      <c r="D67" s="259"/>
      <c r="E67" s="259"/>
      <c r="F67" s="259"/>
      <c r="G67" s="259"/>
      <c r="H67" s="166"/>
      <c r="I67" s="167"/>
      <c r="J67" s="167"/>
      <c r="K67" s="167"/>
      <c r="L67" s="170"/>
      <c r="M67" s="167"/>
      <c r="N67" s="174"/>
      <c r="O67" s="167"/>
      <c r="P67" s="175">
        <f>19131/100*$O$34</f>
        <v>19131</v>
      </c>
      <c r="Q67" s="176"/>
      <c r="R67" s="176"/>
      <c r="S67" s="122"/>
      <c r="T67" s="122"/>
      <c r="U67" s="122"/>
      <c r="V67" s="122"/>
      <c r="W67" s="122"/>
      <c r="X67" s="122"/>
      <c r="Y67" s="122"/>
      <c r="Z67" s="122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63"/>
      <c r="AN67" s="163"/>
      <c r="AO67" s="163"/>
      <c r="AP67" s="163" t="s">
        <v>57</v>
      </c>
      <c r="AQ67" s="124"/>
      <c r="AR67" s="163"/>
      <c r="AS67" s="124"/>
      <c r="AT67" s="124"/>
      <c r="AU67" s="124"/>
      <c r="AV67" s="124"/>
      <c r="AW67" s="124"/>
      <c r="AX67" s="124"/>
      <c r="AY67" s="124"/>
      <c r="AZ67" s="124"/>
      <c r="BA67" s="124"/>
    </row>
    <row r="68" spans="1:53" s="139" customFormat="1" ht="15" x14ac:dyDescent="0.25">
      <c r="A68" s="177"/>
      <c r="B68" s="178"/>
      <c r="C68" s="261" t="s">
        <v>58</v>
      </c>
      <c r="D68" s="261"/>
      <c r="E68" s="261"/>
      <c r="F68" s="261"/>
      <c r="G68" s="261"/>
      <c r="H68" s="179"/>
      <c r="I68" s="180"/>
      <c r="J68" s="180"/>
      <c r="K68" s="180"/>
      <c r="L68" s="181"/>
      <c r="M68" s="180"/>
      <c r="N68" s="181"/>
      <c r="O68" s="180"/>
      <c r="P68" s="184">
        <f>1987/100*$O$34</f>
        <v>1987</v>
      </c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63"/>
      <c r="AN68" s="163"/>
      <c r="AO68" s="163"/>
      <c r="AP68" s="163"/>
      <c r="AQ68" s="124" t="s">
        <v>58</v>
      </c>
      <c r="AR68" s="163"/>
      <c r="AS68" s="124"/>
      <c r="AT68" s="124"/>
      <c r="AU68" s="124"/>
      <c r="AV68" s="124"/>
      <c r="AW68" s="124"/>
      <c r="AX68" s="124"/>
      <c r="AY68" s="124"/>
      <c r="AZ68" s="124"/>
      <c r="BA68" s="124"/>
    </row>
    <row r="69" spans="1:53" s="139" customFormat="1" ht="23.25" x14ac:dyDescent="0.25">
      <c r="A69" s="177"/>
      <c r="B69" s="178" t="s">
        <v>73</v>
      </c>
      <c r="C69" s="261" t="s">
        <v>74</v>
      </c>
      <c r="D69" s="261"/>
      <c r="E69" s="261"/>
      <c r="F69" s="261"/>
      <c r="G69" s="261"/>
      <c r="H69" s="179" t="s">
        <v>61</v>
      </c>
      <c r="I69" s="183">
        <v>92</v>
      </c>
      <c r="J69" s="180"/>
      <c r="K69" s="183">
        <v>92</v>
      </c>
      <c r="L69" s="181"/>
      <c r="M69" s="180"/>
      <c r="N69" s="181"/>
      <c r="O69" s="180"/>
      <c r="P69" s="184">
        <f>P68*K69%</f>
        <v>1828.0400000000002</v>
      </c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63"/>
      <c r="AN69" s="163"/>
      <c r="AO69" s="163"/>
      <c r="AP69" s="163"/>
      <c r="AQ69" s="124" t="s">
        <v>74</v>
      </c>
      <c r="AR69" s="163"/>
      <c r="AS69" s="124"/>
      <c r="AT69" s="124"/>
      <c r="AU69" s="124"/>
      <c r="AV69" s="124"/>
      <c r="AW69" s="124"/>
      <c r="AX69" s="124"/>
      <c r="AY69" s="124"/>
      <c r="AZ69" s="124"/>
      <c r="BA69" s="124"/>
    </row>
    <row r="70" spans="1:53" s="139" customFormat="1" ht="23.25" x14ac:dyDescent="0.25">
      <c r="A70" s="177"/>
      <c r="B70" s="178" t="s">
        <v>75</v>
      </c>
      <c r="C70" s="261" t="s">
        <v>76</v>
      </c>
      <c r="D70" s="261"/>
      <c r="E70" s="261"/>
      <c r="F70" s="261"/>
      <c r="G70" s="261"/>
      <c r="H70" s="179" t="s">
        <v>61</v>
      </c>
      <c r="I70" s="183">
        <v>46</v>
      </c>
      <c r="J70" s="180"/>
      <c r="K70" s="183">
        <v>46</v>
      </c>
      <c r="L70" s="181"/>
      <c r="M70" s="180"/>
      <c r="N70" s="181"/>
      <c r="O70" s="180"/>
      <c r="P70" s="184">
        <f>P68*K70%</f>
        <v>914.0200000000001</v>
      </c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63"/>
      <c r="AN70" s="163"/>
      <c r="AO70" s="163"/>
      <c r="AP70" s="163"/>
      <c r="AQ70" s="124" t="s">
        <v>76</v>
      </c>
      <c r="AR70" s="163"/>
      <c r="AS70" s="124"/>
      <c r="AT70" s="124"/>
      <c r="AU70" s="124"/>
      <c r="AV70" s="124"/>
      <c r="AW70" s="124"/>
      <c r="AX70" s="124"/>
      <c r="AY70" s="124"/>
      <c r="AZ70" s="124"/>
      <c r="BA70" s="124"/>
    </row>
    <row r="71" spans="1:53" s="139" customFormat="1" ht="15" x14ac:dyDescent="0.25">
      <c r="A71" s="185"/>
      <c r="B71" s="186"/>
      <c r="C71" s="259" t="s">
        <v>64</v>
      </c>
      <c r="D71" s="259"/>
      <c r="E71" s="259"/>
      <c r="F71" s="259"/>
      <c r="G71" s="259"/>
      <c r="H71" s="166"/>
      <c r="I71" s="167"/>
      <c r="J71" s="167"/>
      <c r="K71" s="167"/>
      <c r="L71" s="170"/>
      <c r="M71" s="167"/>
      <c r="N71" s="174">
        <v>21235.919999999998</v>
      </c>
      <c r="O71" s="167"/>
      <c r="P71" s="175">
        <f>P67+P69+P70</f>
        <v>21873.06</v>
      </c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63"/>
      <c r="AN71" s="163"/>
      <c r="AO71" s="163"/>
      <c r="AP71" s="163"/>
      <c r="AQ71" s="124"/>
      <c r="AR71" s="163" t="s">
        <v>64</v>
      </c>
      <c r="AS71" s="124"/>
      <c r="AT71" s="124"/>
      <c r="AU71" s="124"/>
      <c r="AV71" s="124"/>
      <c r="AW71" s="124"/>
      <c r="AX71" s="124"/>
      <c r="AY71" s="124"/>
      <c r="AZ71" s="124"/>
      <c r="BA71" s="124"/>
    </row>
    <row r="72" spans="1:53" s="139" customFormat="1" ht="23.25" x14ac:dyDescent="0.25">
      <c r="A72" s="164" t="s">
        <v>89</v>
      </c>
      <c r="B72" s="165" t="s">
        <v>78</v>
      </c>
      <c r="C72" s="260" t="s">
        <v>166</v>
      </c>
      <c r="D72" s="260"/>
      <c r="E72" s="260"/>
      <c r="F72" s="260"/>
      <c r="G72" s="260"/>
      <c r="H72" s="166" t="s">
        <v>56</v>
      </c>
      <c r="I72" s="167">
        <f>2.8/100*$O$34</f>
        <v>2.8</v>
      </c>
      <c r="J72" s="168">
        <v>1</v>
      </c>
      <c r="K72" s="189">
        <v>2.8</v>
      </c>
      <c r="L72" s="170"/>
      <c r="M72" s="167"/>
      <c r="N72" s="170"/>
      <c r="O72" s="167"/>
      <c r="P72" s="171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63"/>
      <c r="AN72" s="163"/>
      <c r="AO72" s="163" t="s">
        <v>166</v>
      </c>
      <c r="AP72" s="163"/>
      <c r="AQ72" s="124"/>
      <c r="AR72" s="163"/>
      <c r="AS72" s="124"/>
      <c r="AT72" s="124"/>
      <c r="AU72" s="124"/>
      <c r="AV72" s="124"/>
      <c r="AW72" s="124"/>
      <c r="AX72" s="124"/>
      <c r="AY72" s="124"/>
      <c r="AZ72" s="124"/>
      <c r="BA72" s="124"/>
    </row>
    <row r="73" spans="1:53" s="139" customFormat="1" ht="15" x14ac:dyDescent="0.25">
      <c r="A73" s="172"/>
      <c r="B73" s="173"/>
      <c r="C73" s="259" t="s">
        <v>57</v>
      </c>
      <c r="D73" s="259"/>
      <c r="E73" s="259"/>
      <c r="F73" s="259"/>
      <c r="G73" s="259"/>
      <c r="H73" s="166"/>
      <c r="I73" s="167"/>
      <c r="J73" s="167"/>
      <c r="K73" s="167"/>
      <c r="L73" s="170"/>
      <c r="M73" s="167"/>
      <c r="N73" s="174"/>
      <c r="O73" s="167"/>
      <c r="P73" s="175">
        <f>16465/100*$O$34</f>
        <v>16465</v>
      </c>
      <c r="Q73" s="176"/>
      <c r="R73" s="176"/>
      <c r="S73" s="122"/>
      <c r="T73" s="122"/>
      <c r="U73" s="122"/>
      <c r="V73" s="122"/>
      <c r="W73" s="122"/>
      <c r="X73" s="122"/>
      <c r="Y73" s="122"/>
      <c r="Z73" s="122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63"/>
      <c r="AN73" s="163"/>
      <c r="AO73" s="163"/>
      <c r="AP73" s="163" t="s">
        <v>57</v>
      </c>
      <c r="AQ73" s="124"/>
      <c r="AR73" s="163"/>
      <c r="AS73" s="124"/>
      <c r="AT73" s="124"/>
      <c r="AU73" s="124"/>
      <c r="AV73" s="124"/>
      <c r="AW73" s="124"/>
      <c r="AX73" s="124"/>
      <c r="AY73" s="124"/>
      <c r="AZ73" s="124"/>
      <c r="BA73" s="124"/>
    </row>
    <row r="74" spans="1:53" s="139" customFormat="1" ht="15" x14ac:dyDescent="0.25">
      <c r="A74" s="177"/>
      <c r="B74" s="178"/>
      <c r="C74" s="261" t="s">
        <v>58</v>
      </c>
      <c r="D74" s="261"/>
      <c r="E74" s="261"/>
      <c r="F74" s="261"/>
      <c r="G74" s="261"/>
      <c r="H74" s="179"/>
      <c r="I74" s="180"/>
      <c r="J74" s="180"/>
      <c r="K74" s="180"/>
      <c r="L74" s="181"/>
      <c r="M74" s="180"/>
      <c r="N74" s="181"/>
      <c r="O74" s="180"/>
      <c r="P74" s="184">
        <f>13862/100*$O$34</f>
        <v>13862</v>
      </c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63"/>
      <c r="AN74" s="163"/>
      <c r="AO74" s="163"/>
      <c r="AP74" s="163"/>
      <c r="AQ74" s="124" t="s">
        <v>58</v>
      </c>
      <c r="AR74" s="163"/>
      <c r="AS74" s="124"/>
      <c r="AT74" s="124"/>
      <c r="AU74" s="124"/>
      <c r="AV74" s="124"/>
      <c r="AW74" s="124"/>
      <c r="AX74" s="124"/>
      <c r="AY74" s="124"/>
      <c r="AZ74" s="124"/>
      <c r="BA74" s="124"/>
    </row>
    <row r="75" spans="1:53" s="139" customFormat="1" ht="23.25" x14ac:dyDescent="0.25">
      <c r="A75" s="177"/>
      <c r="B75" s="178" t="s">
        <v>73</v>
      </c>
      <c r="C75" s="261" t="s">
        <v>74</v>
      </c>
      <c r="D75" s="261"/>
      <c r="E75" s="261"/>
      <c r="F75" s="261"/>
      <c r="G75" s="261"/>
      <c r="H75" s="179" t="s">
        <v>61</v>
      </c>
      <c r="I75" s="183">
        <v>92</v>
      </c>
      <c r="J75" s="180"/>
      <c r="K75" s="183">
        <v>92</v>
      </c>
      <c r="L75" s="181"/>
      <c r="M75" s="180"/>
      <c r="N75" s="181"/>
      <c r="O75" s="180"/>
      <c r="P75" s="184">
        <f>P74*K75%</f>
        <v>12753.04</v>
      </c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63"/>
      <c r="AN75" s="163"/>
      <c r="AO75" s="163"/>
      <c r="AP75" s="163"/>
      <c r="AQ75" s="124" t="s">
        <v>74</v>
      </c>
      <c r="AR75" s="163"/>
      <c r="AS75" s="124"/>
      <c r="AT75" s="124"/>
      <c r="AU75" s="124"/>
      <c r="AV75" s="124"/>
      <c r="AW75" s="124"/>
      <c r="AX75" s="124"/>
      <c r="AY75" s="124"/>
      <c r="AZ75" s="124"/>
      <c r="BA75" s="124"/>
    </row>
    <row r="76" spans="1:53" s="139" customFormat="1" ht="23.25" x14ac:dyDescent="0.25">
      <c r="A76" s="177"/>
      <c r="B76" s="178" t="s">
        <v>75</v>
      </c>
      <c r="C76" s="261" t="s">
        <v>76</v>
      </c>
      <c r="D76" s="261"/>
      <c r="E76" s="261"/>
      <c r="F76" s="261"/>
      <c r="G76" s="261"/>
      <c r="H76" s="179" t="s">
        <v>61</v>
      </c>
      <c r="I76" s="183">
        <v>46</v>
      </c>
      <c r="J76" s="180"/>
      <c r="K76" s="183">
        <v>46</v>
      </c>
      <c r="L76" s="181"/>
      <c r="M76" s="180"/>
      <c r="N76" s="181"/>
      <c r="O76" s="180"/>
      <c r="P76" s="184">
        <f>P74*K76%</f>
        <v>6376.52</v>
      </c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63"/>
      <c r="AN76" s="163"/>
      <c r="AO76" s="163"/>
      <c r="AP76" s="163"/>
      <c r="AQ76" s="124" t="s">
        <v>76</v>
      </c>
      <c r="AR76" s="163"/>
      <c r="AS76" s="124"/>
      <c r="AT76" s="124"/>
      <c r="AU76" s="124"/>
      <c r="AV76" s="124"/>
      <c r="AW76" s="124"/>
      <c r="AX76" s="124"/>
      <c r="AY76" s="124"/>
      <c r="AZ76" s="124"/>
      <c r="BA76" s="124"/>
    </row>
    <row r="77" spans="1:53" s="139" customFormat="1" ht="15" x14ac:dyDescent="0.25">
      <c r="A77" s="185"/>
      <c r="B77" s="186"/>
      <c r="C77" s="259" t="s">
        <v>64</v>
      </c>
      <c r="D77" s="259"/>
      <c r="E77" s="259"/>
      <c r="F77" s="259"/>
      <c r="G77" s="259"/>
      <c r="H77" s="166"/>
      <c r="I77" s="167"/>
      <c r="J77" s="167"/>
      <c r="K77" s="167"/>
      <c r="L77" s="170"/>
      <c r="M77" s="167"/>
      <c r="N77" s="174">
        <v>12712.5</v>
      </c>
      <c r="O77" s="167"/>
      <c r="P77" s="175">
        <f>P73+P75+P76</f>
        <v>35594.559999999998</v>
      </c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63"/>
      <c r="AN77" s="163"/>
      <c r="AO77" s="163"/>
      <c r="AP77" s="163"/>
      <c r="AQ77" s="124"/>
      <c r="AR77" s="163" t="s">
        <v>64</v>
      </c>
      <c r="AS77" s="124"/>
      <c r="AT77" s="124"/>
      <c r="AU77" s="124"/>
      <c r="AV77" s="124"/>
      <c r="AW77" s="124"/>
      <c r="AX77" s="124"/>
      <c r="AY77" s="124"/>
      <c r="AZ77" s="124"/>
      <c r="BA77" s="124"/>
    </row>
    <row r="78" spans="1:53" s="139" customFormat="1" ht="15" x14ac:dyDescent="0.25">
      <c r="A78" s="262" t="s">
        <v>80</v>
      </c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4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63"/>
      <c r="AN78" s="163" t="s">
        <v>80</v>
      </c>
      <c r="AO78" s="163"/>
      <c r="AP78" s="163"/>
      <c r="AQ78" s="124"/>
      <c r="AR78" s="163"/>
      <c r="AS78" s="124"/>
      <c r="AT78" s="124"/>
      <c r="AU78" s="124"/>
      <c r="AV78" s="124"/>
      <c r="AW78" s="124"/>
      <c r="AX78" s="124"/>
      <c r="AY78" s="124"/>
      <c r="AZ78" s="124"/>
      <c r="BA78" s="124"/>
    </row>
    <row r="79" spans="1:53" s="139" customFormat="1" ht="34.5" x14ac:dyDescent="0.25">
      <c r="A79" s="164" t="s">
        <v>93</v>
      </c>
      <c r="B79" s="165" t="s">
        <v>82</v>
      </c>
      <c r="C79" s="260" t="s">
        <v>83</v>
      </c>
      <c r="D79" s="260"/>
      <c r="E79" s="260"/>
      <c r="F79" s="260"/>
      <c r="G79" s="260"/>
      <c r="H79" s="166" t="s">
        <v>84</v>
      </c>
      <c r="I79" s="167">
        <f>3.3/100*$O$34</f>
        <v>3.3000000000000003</v>
      </c>
      <c r="J79" s="168">
        <v>1</v>
      </c>
      <c r="K79" s="189">
        <v>3.3</v>
      </c>
      <c r="L79" s="170"/>
      <c r="M79" s="167"/>
      <c r="N79" s="170"/>
      <c r="O79" s="167"/>
      <c r="P79" s="171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63"/>
      <c r="AN79" s="163"/>
      <c r="AO79" s="163" t="s">
        <v>83</v>
      </c>
      <c r="AP79" s="163"/>
      <c r="AQ79" s="124"/>
      <c r="AR79" s="163"/>
      <c r="AS79" s="124"/>
      <c r="AT79" s="124"/>
      <c r="AU79" s="124"/>
      <c r="AV79" s="124"/>
      <c r="AW79" s="124"/>
      <c r="AX79" s="124"/>
      <c r="AY79" s="124"/>
      <c r="AZ79" s="124"/>
      <c r="BA79" s="124"/>
    </row>
    <row r="80" spans="1:53" s="139" customFormat="1" ht="15" x14ac:dyDescent="0.25">
      <c r="A80" s="172"/>
      <c r="B80" s="173"/>
      <c r="C80" s="259" t="s">
        <v>57</v>
      </c>
      <c r="D80" s="259"/>
      <c r="E80" s="259"/>
      <c r="F80" s="259"/>
      <c r="G80" s="259"/>
      <c r="H80" s="166"/>
      <c r="I80" s="167"/>
      <c r="J80" s="167"/>
      <c r="K80" s="167"/>
      <c r="L80" s="170"/>
      <c r="M80" s="167"/>
      <c r="N80" s="174"/>
      <c r="O80" s="167"/>
      <c r="P80" s="175">
        <f>40473/100*$O$34</f>
        <v>40473</v>
      </c>
      <c r="Q80" s="176"/>
      <c r="R80" s="176"/>
      <c r="S80" s="122"/>
      <c r="T80" s="122"/>
      <c r="U80" s="122"/>
      <c r="V80" s="122"/>
      <c r="W80" s="122"/>
      <c r="X80" s="122"/>
      <c r="Y80" s="122"/>
      <c r="Z80" s="122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63"/>
      <c r="AN80" s="163"/>
      <c r="AO80" s="163"/>
      <c r="AP80" s="163" t="s">
        <v>57</v>
      </c>
      <c r="AQ80" s="124"/>
      <c r="AR80" s="163"/>
      <c r="AS80" s="124"/>
      <c r="AT80" s="124"/>
      <c r="AU80" s="124"/>
      <c r="AV80" s="124"/>
      <c r="AW80" s="124"/>
      <c r="AX80" s="124"/>
      <c r="AY80" s="124"/>
      <c r="AZ80" s="124"/>
      <c r="BA80" s="124"/>
    </row>
    <row r="81" spans="1:53" s="139" customFormat="1" ht="15" x14ac:dyDescent="0.25">
      <c r="A81" s="177"/>
      <c r="B81" s="178"/>
      <c r="C81" s="261" t="s">
        <v>58</v>
      </c>
      <c r="D81" s="261"/>
      <c r="E81" s="261"/>
      <c r="F81" s="261"/>
      <c r="G81" s="261"/>
      <c r="H81" s="179"/>
      <c r="I81" s="180"/>
      <c r="J81" s="180"/>
      <c r="K81" s="180"/>
      <c r="L81" s="181"/>
      <c r="M81" s="180"/>
      <c r="N81" s="181"/>
      <c r="O81" s="180"/>
      <c r="P81" s="184">
        <f>40377/100*$O$34</f>
        <v>40377</v>
      </c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63"/>
      <c r="AN81" s="163"/>
      <c r="AO81" s="163"/>
      <c r="AP81" s="163"/>
      <c r="AQ81" s="124" t="s">
        <v>58</v>
      </c>
      <c r="AR81" s="163"/>
      <c r="AS81" s="124"/>
      <c r="AT81" s="124"/>
      <c r="AU81" s="124"/>
      <c r="AV81" s="124"/>
      <c r="AW81" s="124"/>
      <c r="AX81" s="124"/>
      <c r="AY81" s="124"/>
      <c r="AZ81" s="124"/>
      <c r="BA81" s="124"/>
    </row>
    <row r="82" spans="1:53" s="139" customFormat="1" ht="23.25" x14ac:dyDescent="0.25">
      <c r="A82" s="177"/>
      <c r="B82" s="178" t="s">
        <v>85</v>
      </c>
      <c r="C82" s="261" t="s">
        <v>86</v>
      </c>
      <c r="D82" s="261"/>
      <c r="E82" s="261"/>
      <c r="F82" s="261"/>
      <c r="G82" s="261"/>
      <c r="H82" s="179" t="s">
        <v>61</v>
      </c>
      <c r="I82" s="183">
        <v>89</v>
      </c>
      <c r="J82" s="180"/>
      <c r="K82" s="183">
        <v>89</v>
      </c>
      <c r="L82" s="181"/>
      <c r="M82" s="180"/>
      <c r="N82" s="181"/>
      <c r="O82" s="180"/>
      <c r="P82" s="184">
        <f>P81*K82%</f>
        <v>35935.53</v>
      </c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63"/>
      <c r="AN82" s="163"/>
      <c r="AO82" s="163"/>
      <c r="AP82" s="163"/>
      <c r="AQ82" s="124" t="s">
        <v>86</v>
      </c>
      <c r="AR82" s="163"/>
      <c r="AS82" s="124"/>
      <c r="AT82" s="124"/>
      <c r="AU82" s="124"/>
      <c r="AV82" s="124"/>
      <c r="AW82" s="124"/>
      <c r="AX82" s="124"/>
      <c r="AY82" s="124"/>
      <c r="AZ82" s="124"/>
      <c r="BA82" s="124"/>
    </row>
    <row r="83" spans="1:53" s="139" customFormat="1" ht="23.25" x14ac:dyDescent="0.25">
      <c r="A83" s="177"/>
      <c r="B83" s="178" t="s">
        <v>87</v>
      </c>
      <c r="C83" s="261" t="s">
        <v>88</v>
      </c>
      <c r="D83" s="261"/>
      <c r="E83" s="261"/>
      <c r="F83" s="261"/>
      <c r="G83" s="261"/>
      <c r="H83" s="179" t="s">
        <v>61</v>
      </c>
      <c r="I83" s="183">
        <v>41</v>
      </c>
      <c r="J83" s="180"/>
      <c r="K83" s="183">
        <v>41</v>
      </c>
      <c r="L83" s="181"/>
      <c r="M83" s="180"/>
      <c r="N83" s="181"/>
      <c r="O83" s="180"/>
      <c r="P83" s="184">
        <f>P81*K83%</f>
        <v>16554.57</v>
      </c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63"/>
      <c r="AN83" s="163"/>
      <c r="AO83" s="163"/>
      <c r="AP83" s="163"/>
      <c r="AQ83" s="124" t="s">
        <v>88</v>
      </c>
      <c r="AR83" s="163"/>
      <c r="AS83" s="124"/>
      <c r="AT83" s="124"/>
      <c r="AU83" s="124"/>
      <c r="AV83" s="124"/>
      <c r="AW83" s="124"/>
      <c r="AX83" s="124"/>
      <c r="AY83" s="124"/>
      <c r="AZ83" s="124"/>
      <c r="BA83" s="124"/>
    </row>
    <row r="84" spans="1:53" s="139" customFormat="1" ht="15" x14ac:dyDescent="0.25">
      <c r="A84" s="185"/>
      <c r="B84" s="186"/>
      <c r="C84" s="259" t="s">
        <v>64</v>
      </c>
      <c r="D84" s="259"/>
      <c r="E84" s="259"/>
      <c r="F84" s="259"/>
      <c r="G84" s="259"/>
      <c r="H84" s="166"/>
      <c r="I84" s="167"/>
      <c r="J84" s="167"/>
      <c r="K84" s="167"/>
      <c r="L84" s="170"/>
      <c r="M84" s="167"/>
      <c r="N84" s="174">
        <v>28170.91</v>
      </c>
      <c r="O84" s="167"/>
      <c r="P84" s="175">
        <f>P80+P82+P83</f>
        <v>92963.1</v>
      </c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63"/>
      <c r="AN84" s="163"/>
      <c r="AO84" s="163"/>
      <c r="AP84" s="163"/>
      <c r="AQ84" s="124"/>
      <c r="AR84" s="163" t="s">
        <v>64</v>
      </c>
      <c r="AS84" s="124"/>
      <c r="AT84" s="124"/>
      <c r="AU84" s="124"/>
      <c r="AV84" s="124"/>
      <c r="AW84" s="124"/>
      <c r="AX84" s="124"/>
      <c r="AY84" s="124"/>
      <c r="AZ84" s="124"/>
      <c r="BA84" s="124"/>
    </row>
    <row r="85" spans="1:53" s="139" customFormat="1" ht="15" x14ac:dyDescent="0.25">
      <c r="A85" s="164" t="s">
        <v>97</v>
      </c>
      <c r="B85" s="165" t="s">
        <v>90</v>
      </c>
      <c r="C85" s="260" t="s">
        <v>91</v>
      </c>
      <c r="D85" s="260"/>
      <c r="E85" s="260"/>
      <c r="F85" s="260"/>
      <c r="G85" s="260"/>
      <c r="H85" s="166" t="s">
        <v>92</v>
      </c>
      <c r="I85" s="167">
        <f>3.96/100*$O$34</f>
        <v>3.9599999999999995</v>
      </c>
      <c r="J85" s="168">
        <v>1</v>
      </c>
      <c r="K85" s="187">
        <v>3.96</v>
      </c>
      <c r="L85" s="190">
        <v>149.15</v>
      </c>
      <c r="M85" s="187">
        <v>0.96</v>
      </c>
      <c r="N85" s="190">
        <v>143.18</v>
      </c>
      <c r="O85" s="167"/>
      <c r="P85" s="175">
        <f>I85*N85</f>
        <v>566.99279999999999</v>
      </c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63"/>
      <c r="AN85" s="163"/>
      <c r="AO85" s="163" t="s">
        <v>91</v>
      </c>
      <c r="AP85" s="163"/>
      <c r="AQ85" s="124"/>
      <c r="AR85" s="163"/>
      <c r="AS85" s="124"/>
      <c r="AT85" s="124"/>
      <c r="AU85" s="124"/>
      <c r="AV85" s="124"/>
      <c r="AW85" s="124"/>
      <c r="AX85" s="124"/>
      <c r="AY85" s="124"/>
      <c r="AZ85" s="124"/>
      <c r="BA85" s="124"/>
    </row>
    <row r="86" spans="1:53" s="139" customFormat="1" ht="15" x14ac:dyDescent="0.25">
      <c r="A86" s="185"/>
      <c r="B86" s="186"/>
      <c r="C86" s="259" t="s">
        <v>64</v>
      </c>
      <c r="D86" s="259"/>
      <c r="E86" s="259"/>
      <c r="F86" s="259"/>
      <c r="G86" s="259"/>
      <c r="H86" s="166"/>
      <c r="I86" s="167"/>
      <c r="J86" s="167"/>
      <c r="K86" s="167"/>
      <c r="L86" s="170"/>
      <c r="M86" s="167"/>
      <c r="N86" s="170"/>
      <c r="O86" s="167"/>
      <c r="P86" s="175">
        <f>P85</f>
        <v>566.99279999999999</v>
      </c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63"/>
      <c r="AN86" s="163"/>
      <c r="AO86" s="163"/>
      <c r="AP86" s="163"/>
      <c r="AQ86" s="124"/>
      <c r="AR86" s="163" t="s">
        <v>64</v>
      </c>
      <c r="AS86" s="124"/>
      <c r="AT86" s="124"/>
      <c r="AU86" s="124"/>
      <c r="AV86" s="124"/>
      <c r="AW86" s="124"/>
      <c r="AX86" s="124"/>
      <c r="AY86" s="124"/>
      <c r="AZ86" s="124"/>
      <c r="BA86" s="124"/>
    </row>
    <row r="87" spans="1:53" s="139" customFormat="1" ht="15" x14ac:dyDescent="0.25">
      <c r="A87" s="164" t="s">
        <v>104</v>
      </c>
      <c r="B87" s="165" t="s">
        <v>94</v>
      </c>
      <c r="C87" s="260" t="s">
        <v>95</v>
      </c>
      <c r="D87" s="260"/>
      <c r="E87" s="260"/>
      <c r="F87" s="260"/>
      <c r="G87" s="260"/>
      <c r="H87" s="166" t="s">
        <v>96</v>
      </c>
      <c r="I87" s="167">
        <f>107/100*$O$34</f>
        <v>107</v>
      </c>
      <c r="J87" s="168">
        <v>1</v>
      </c>
      <c r="K87" s="168">
        <v>107</v>
      </c>
      <c r="L87" s="174">
        <v>1062.45</v>
      </c>
      <c r="M87" s="187">
        <v>1.03</v>
      </c>
      <c r="N87" s="174">
        <v>1094.32</v>
      </c>
      <c r="O87" s="167"/>
      <c r="P87" s="175">
        <f>I87*N87</f>
        <v>117092.23999999999</v>
      </c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63"/>
      <c r="AN87" s="163"/>
      <c r="AO87" s="163" t="s">
        <v>95</v>
      </c>
      <c r="AP87" s="163"/>
      <c r="AQ87" s="124"/>
      <c r="AR87" s="163"/>
      <c r="AS87" s="124"/>
      <c r="AT87" s="124"/>
      <c r="AU87" s="124"/>
      <c r="AV87" s="124"/>
      <c r="AW87" s="124"/>
      <c r="AX87" s="124"/>
      <c r="AY87" s="124"/>
      <c r="AZ87" s="124"/>
      <c r="BA87" s="124"/>
    </row>
    <row r="88" spans="1:53" s="139" customFormat="1" ht="15" x14ac:dyDescent="0.25">
      <c r="A88" s="185"/>
      <c r="B88" s="186"/>
      <c r="C88" s="259" t="s">
        <v>64</v>
      </c>
      <c r="D88" s="259"/>
      <c r="E88" s="259"/>
      <c r="F88" s="259"/>
      <c r="G88" s="259"/>
      <c r="H88" s="166"/>
      <c r="I88" s="167"/>
      <c r="J88" s="167"/>
      <c r="K88" s="167"/>
      <c r="L88" s="170"/>
      <c r="M88" s="167"/>
      <c r="N88" s="170"/>
      <c r="O88" s="167"/>
      <c r="P88" s="175">
        <f>P87</f>
        <v>117092.23999999999</v>
      </c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63"/>
      <c r="AN88" s="163"/>
      <c r="AO88" s="163"/>
      <c r="AP88" s="163"/>
      <c r="AQ88" s="124"/>
      <c r="AR88" s="163" t="s">
        <v>64</v>
      </c>
      <c r="AS88" s="124"/>
      <c r="AT88" s="124"/>
      <c r="AU88" s="124"/>
      <c r="AV88" s="124"/>
      <c r="AW88" s="124"/>
      <c r="AX88" s="124"/>
      <c r="AY88" s="124"/>
      <c r="AZ88" s="124"/>
      <c r="BA88" s="124"/>
    </row>
    <row r="89" spans="1:53" s="139" customFormat="1" ht="34.5" x14ac:dyDescent="0.25">
      <c r="A89" s="164" t="s">
        <v>108</v>
      </c>
      <c r="B89" s="165" t="s">
        <v>98</v>
      </c>
      <c r="C89" s="260" t="s">
        <v>99</v>
      </c>
      <c r="D89" s="260"/>
      <c r="E89" s="260"/>
      <c r="F89" s="260"/>
      <c r="G89" s="260"/>
      <c r="H89" s="166" t="s">
        <v>72</v>
      </c>
      <c r="I89" s="167">
        <f>0.81/100*$O$34</f>
        <v>0.81000000000000016</v>
      </c>
      <c r="J89" s="168">
        <v>1</v>
      </c>
      <c r="K89" s="187">
        <v>0.81</v>
      </c>
      <c r="L89" s="170"/>
      <c r="M89" s="167"/>
      <c r="N89" s="170"/>
      <c r="O89" s="167"/>
      <c r="P89" s="171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63"/>
      <c r="AN89" s="163"/>
      <c r="AO89" s="163" t="s">
        <v>99</v>
      </c>
      <c r="AP89" s="163"/>
      <c r="AQ89" s="124"/>
      <c r="AR89" s="163"/>
      <c r="AS89" s="124"/>
      <c r="AT89" s="124"/>
      <c r="AU89" s="124"/>
      <c r="AV89" s="124"/>
      <c r="AW89" s="124"/>
      <c r="AX89" s="124"/>
      <c r="AY89" s="124"/>
      <c r="AZ89" s="124"/>
      <c r="BA89" s="124"/>
    </row>
    <row r="90" spans="1:53" s="139" customFormat="1" ht="15" x14ac:dyDescent="0.25">
      <c r="A90" s="172"/>
      <c r="B90" s="173"/>
      <c r="C90" s="259" t="s">
        <v>57</v>
      </c>
      <c r="D90" s="259"/>
      <c r="E90" s="259"/>
      <c r="F90" s="259"/>
      <c r="G90" s="259"/>
      <c r="H90" s="166"/>
      <c r="I90" s="167"/>
      <c r="J90" s="167"/>
      <c r="K90" s="167"/>
      <c r="L90" s="170"/>
      <c r="M90" s="167"/>
      <c r="N90" s="174"/>
      <c r="O90" s="167"/>
      <c r="P90" s="175">
        <f>12548/100*$O$34</f>
        <v>12548</v>
      </c>
      <c r="Q90" s="176"/>
      <c r="R90" s="176"/>
      <c r="S90" s="122"/>
      <c r="T90" s="122"/>
      <c r="U90" s="122"/>
      <c r="V90" s="122"/>
      <c r="W90" s="122"/>
      <c r="X90" s="122"/>
      <c r="Y90" s="122"/>
      <c r="Z90" s="122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63"/>
      <c r="AN90" s="163"/>
      <c r="AO90" s="163"/>
      <c r="AP90" s="163" t="s">
        <v>57</v>
      </c>
      <c r="AQ90" s="124"/>
      <c r="AR90" s="163"/>
      <c r="AS90" s="124"/>
      <c r="AT90" s="124"/>
      <c r="AU90" s="124"/>
      <c r="AV90" s="124"/>
      <c r="AW90" s="124"/>
      <c r="AX90" s="124"/>
      <c r="AY90" s="124"/>
      <c r="AZ90" s="124"/>
      <c r="BA90" s="124"/>
    </row>
    <row r="91" spans="1:53" s="139" customFormat="1" ht="15" x14ac:dyDescent="0.25">
      <c r="A91" s="177"/>
      <c r="B91" s="178"/>
      <c r="C91" s="261" t="s">
        <v>58</v>
      </c>
      <c r="D91" s="261"/>
      <c r="E91" s="261"/>
      <c r="F91" s="261"/>
      <c r="G91" s="261"/>
      <c r="H91" s="179"/>
      <c r="I91" s="180"/>
      <c r="J91" s="180"/>
      <c r="K91" s="180"/>
      <c r="L91" s="181"/>
      <c r="M91" s="180"/>
      <c r="N91" s="181"/>
      <c r="O91" s="180"/>
      <c r="P91" s="184">
        <f>12410/100*$O$34</f>
        <v>12410</v>
      </c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63"/>
      <c r="AN91" s="163"/>
      <c r="AO91" s="163"/>
      <c r="AP91" s="163"/>
      <c r="AQ91" s="124" t="s">
        <v>58</v>
      </c>
      <c r="AR91" s="163"/>
      <c r="AS91" s="124"/>
      <c r="AT91" s="124"/>
      <c r="AU91" s="124"/>
      <c r="AV91" s="124"/>
      <c r="AW91" s="124"/>
      <c r="AX91" s="124"/>
      <c r="AY91" s="124"/>
      <c r="AZ91" s="124"/>
      <c r="BA91" s="124"/>
    </row>
    <row r="92" spans="1:53" s="139" customFormat="1" ht="15" x14ac:dyDescent="0.25">
      <c r="A92" s="177"/>
      <c r="B92" s="178" t="s">
        <v>100</v>
      </c>
      <c r="C92" s="261" t="s">
        <v>101</v>
      </c>
      <c r="D92" s="261"/>
      <c r="E92" s="261"/>
      <c r="F92" s="261"/>
      <c r="G92" s="261"/>
      <c r="H92" s="179" t="s">
        <v>61</v>
      </c>
      <c r="I92" s="183">
        <v>147</v>
      </c>
      <c r="J92" s="180"/>
      <c r="K92" s="183">
        <v>147</v>
      </c>
      <c r="L92" s="181"/>
      <c r="M92" s="180"/>
      <c r="N92" s="181"/>
      <c r="O92" s="180"/>
      <c r="P92" s="184">
        <f>P91*K92%</f>
        <v>18242.7</v>
      </c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63"/>
      <c r="AN92" s="163"/>
      <c r="AO92" s="163"/>
      <c r="AP92" s="163"/>
      <c r="AQ92" s="124" t="s">
        <v>101</v>
      </c>
      <c r="AR92" s="163"/>
      <c r="AS92" s="124"/>
      <c r="AT92" s="124"/>
      <c r="AU92" s="124"/>
      <c r="AV92" s="124"/>
      <c r="AW92" s="124"/>
      <c r="AX92" s="124"/>
      <c r="AY92" s="124"/>
      <c r="AZ92" s="124"/>
      <c r="BA92" s="124"/>
    </row>
    <row r="93" spans="1:53" s="139" customFormat="1" ht="15" x14ac:dyDescent="0.25">
      <c r="A93" s="177"/>
      <c r="B93" s="178" t="s">
        <v>102</v>
      </c>
      <c r="C93" s="261" t="s">
        <v>103</v>
      </c>
      <c r="D93" s="261"/>
      <c r="E93" s="261"/>
      <c r="F93" s="261"/>
      <c r="G93" s="261"/>
      <c r="H93" s="179" t="s">
        <v>61</v>
      </c>
      <c r="I93" s="183">
        <v>134</v>
      </c>
      <c r="J93" s="180"/>
      <c r="K93" s="183">
        <v>134</v>
      </c>
      <c r="L93" s="181"/>
      <c r="M93" s="180"/>
      <c r="N93" s="181"/>
      <c r="O93" s="180"/>
      <c r="P93" s="184">
        <f>P91*K93%</f>
        <v>16629.400000000001</v>
      </c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63"/>
      <c r="AN93" s="163"/>
      <c r="AO93" s="163"/>
      <c r="AP93" s="163"/>
      <c r="AQ93" s="124" t="s">
        <v>103</v>
      </c>
      <c r="AR93" s="163"/>
      <c r="AS93" s="124"/>
      <c r="AT93" s="124"/>
      <c r="AU93" s="124"/>
      <c r="AV93" s="124"/>
      <c r="AW93" s="124"/>
      <c r="AX93" s="124"/>
      <c r="AY93" s="124"/>
      <c r="AZ93" s="124"/>
      <c r="BA93" s="124"/>
    </row>
    <row r="94" spans="1:53" s="139" customFormat="1" ht="15" x14ac:dyDescent="0.25">
      <c r="A94" s="185"/>
      <c r="B94" s="186"/>
      <c r="C94" s="259" t="s">
        <v>64</v>
      </c>
      <c r="D94" s="259"/>
      <c r="E94" s="259"/>
      <c r="F94" s="259"/>
      <c r="G94" s="259"/>
      <c r="H94" s="166"/>
      <c r="I94" s="167"/>
      <c r="J94" s="167"/>
      <c r="K94" s="167"/>
      <c r="L94" s="170"/>
      <c r="M94" s="167"/>
      <c r="N94" s="174">
        <v>58543.21</v>
      </c>
      <c r="O94" s="167"/>
      <c r="P94" s="175">
        <f>P90+P92+P93</f>
        <v>47420.100000000006</v>
      </c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63"/>
      <c r="AN94" s="163"/>
      <c r="AO94" s="163"/>
      <c r="AP94" s="163"/>
      <c r="AQ94" s="124"/>
      <c r="AR94" s="163" t="s">
        <v>64</v>
      </c>
      <c r="AS94" s="124"/>
      <c r="AT94" s="124"/>
      <c r="AU94" s="124"/>
      <c r="AV94" s="124"/>
      <c r="AW94" s="124"/>
      <c r="AX94" s="124"/>
      <c r="AY94" s="124"/>
      <c r="AZ94" s="124"/>
      <c r="BA94" s="124"/>
    </row>
    <row r="95" spans="1:53" s="139" customFormat="1" ht="23.25" x14ac:dyDescent="0.25">
      <c r="A95" s="164" t="s">
        <v>115</v>
      </c>
      <c r="B95" s="165" t="s">
        <v>167</v>
      </c>
      <c r="C95" s="260" t="s">
        <v>168</v>
      </c>
      <c r="D95" s="260"/>
      <c r="E95" s="260"/>
      <c r="F95" s="260"/>
      <c r="G95" s="260"/>
      <c r="H95" s="166" t="s">
        <v>107</v>
      </c>
      <c r="I95" s="167">
        <f>972/100*$O$34</f>
        <v>972.00000000000011</v>
      </c>
      <c r="J95" s="168">
        <v>1</v>
      </c>
      <c r="K95" s="168">
        <v>972</v>
      </c>
      <c r="L95" s="190">
        <v>25</v>
      </c>
      <c r="M95" s="187">
        <v>1.07</v>
      </c>
      <c r="N95" s="190">
        <v>26.75</v>
      </c>
      <c r="O95" s="167"/>
      <c r="P95" s="175">
        <f>I95*N95</f>
        <v>26001.000000000004</v>
      </c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63"/>
      <c r="AN95" s="163"/>
      <c r="AO95" s="163" t="s">
        <v>168</v>
      </c>
      <c r="AP95" s="163"/>
      <c r="AQ95" s="124"/>
      <c r="AR95" s="163"/>
      <c r="AS95" s="124"/>
      <c r="AT95" s="124"/>
      <c r="AU95" s="124"/>
      <c r="AV95" s="124"/>
      <c r="AW95" s="124"/>
      <c r="AX95" s="124"/>
      <c r="AY95" s="124"/>
      <c r="AZ95" s="124"/>
      <c r="BA95" s="124"/>
    </row>
    <row r="96" spans="1:53" s="139" customFormat="1" ht="15" x14ac:dyDescent="0.25">
      <c r="A96" s="185"/>
      <c r="B96" s="186"/>
      <c r="C96" s="259" t="s">
        <v>64</v>
      </c>
      <c r="D96" s="259"/>
      <c r="E96" s="259"/>
      <c r="F96" s="259"/>
      <c r="G96" s="259"/>
      <c r="H96" s="166"/>
      <c r="I96" s="167"/>
      <c r="J96" s="167"/>
      <c r="K96" s="167"/>
      <c r="L96" s="170"/>
      <c r="M96" s="167"/>
      <c r="N96" s="170"/>
      <c r="O96" s="167"/>
      <c r="P96" s="175">
        <f>P95</f>
        <v>26001.000000000004</v>
      </c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63"/>
      <c r="AN96" s="163"/>
      <c r="AO96" s="163"/>
      <c r="AP96" s="163"/>
      <c r="AQ96" s="124"/>
      <c r="AR96" s="163" t="s">
        <v>64</v>
      </c>
      <c r="AS96" s="124"/>
      <c r="AT96" s="124"/>
      <c r="AU96" s="124"/>
      <c r="AV96" s="124"/>
      <c r="AW96" s="124"/>
      <c r="AX96" s="124"/>
      <c r="AY96" s="124"/>
      <c r="AZ96" s="124"/>
      <c r="BA96" s="124"/>
    </row>
    <row r="97" spans="1:53" s="139" customFormat="1" ht="15" x14ac:dyDescent="0.25">
      <c r="A97" s="164" t="s">
        <v>119</v>
      </c>
      <c r="B97" s="165" t="s">
        <v>131</v>
      </c>
      <c r="C97" s="260" t="s">
        <v>169</v>
      </c>
      <c r="D97" s="260"/>
      <c r="E97" s="260"/>
      <c r="F97" s="260"/>
      <c r="G97" s="260"/>
      <c r="H97" s="166" t="s">
        <v>96</v>
      </c>
      <c r="I97" s="167">
        <v>8</v>
      </c>
      <c r="J97" s="168">
        <v>1</v>
      </c>
      <c r="K97" s="168">
        <v>8</v>
      </c>
      <c r="L97" s="170"/>
      <c r="M97" s="167"/>
      <c r="N97" s="170"/>
      <c r="O97" s="167"/>
      <c r="P97" s="171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63"/>
      <c r="AN97" s="163"/>
      <c r="AO97" s="163" t="s">
        <v>169</v>
      </c>
      <c r="AP97" s="163"/>
      <c r="AQ97" s="124"/>
      <c r="AR97" s="163"/>
      <c r="AS97" s="124"/>
      <c r="AT97" s="124"/>
      <c r="AU97" s="124"/>
      <c r="AV97" s="124"/>
      <c r="AW97" s="124"/>
      <c r="AX97" s="124"/>
      <c r="AY97" s="124"/>
      <c r="AZ97" s="124"/>
      <c r="BA97" s="124"/>
    </row>
    <row r="98" spans="1:53" s="139" customFormat="1" ht="15" x14ac:dyDescent="0.25">
      <c r="A98" s="172"/>
      <c r="B98" s="173"/>
      <c r="C98" s="259" t="s">
        <v>57</v>
      </c>
      <c r="D98" s="259"/>
      <c r="E98" s="259"/>
      <c r="F98" s="259"/>
      <c r="G98" s="259"/>
      <c r="H98" s="166"/>
      <c r="I98" s="167"/>
      <c r="J98" s="167"/>
      <c r="K98" s="167"/>
      <c r="L98" s="170"/>
      <c r="M98" s="167"/>
      <c r="N98" s="174"/>
      <c r="O98" s="167"/>
      <c r="P98" s="175">
        <f>3294/100*$O$34</f>
        <v>3294</v>
      </c>
      <c r="Q98" s="176"/>
      <c r="R98" s="176"/>
      <c r="S98" s="122"/>
      <c r="T98" s="122"/>
      <c r="U98" s="122"/>
      <c r="V98" s="122"/>
      <c r="W98" s="122"/>
      <c r="X98" s="122"/>
      <c r="Y98" s="122"/>
      <c r="Z98" s="122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63"/>
      <c r="AN98" s="163"/>
      <c r="AO98" s="163"/>
      <c r="AP98" s="163" t="s">
        <v>57</v>
      </c>
      <c r="AQ98" s="124"/>
      <c r="AR98" s="163"/>
      <c r="AS98" s="124"/>
      <c r="AT98" s="124"/>
      <c r="AU98" s="124"/>
      <c r="AV98" s="124"/>
      <c r="AW98" s="124"/>
      <c r="AX98" s="124"/>
      <c r="AY98" s="124"/>
      <c r="AZ98" s="124"/>
      <c r="BA98" s="124"/>
    </row>
    <row r="99" spans="1:53" s="139" customFormat="1" ht="15" x14ac:dyDescent="0.25">
      <c r="A99" s="177"/>
      <c r="B99" s="178"/>
      <c r="C99" s="261" t="s">
        <v>58</v>
      </c>
      <c r="D99" s="261"/>
      <c r="E99" s="261"/>
      <c r="F99" s="261"/>
      <c r="G99" s="261"/>
      <c r="H99" s="179"/>
      <c r="I99" s="180"/>
      <c r="J99" s="180"/>
      <c r="K99" s="180"/>
      <c r="L99" s="181"/>
      <c r="M99" s="180"/>
      <c r="N99" s="181"/>
      <c r="O99" s="180"/>
      <c r="P99" s="184">
        <f>2506/100*$O$34</f>
        <v>2506</v>
      </c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63"/>
      <c r="AN99" s="163"/>
      <c r="AO99" s="163"/>
      <c r="AP99" s="163"/>
      <c r="AQ99" s="124" t="s">
        <v>58</v>
      </c>
      <c r="AR99" s="163"/>
      <c r="AS99" s="124"/>
      <c r="AT99" s="124"/>
      <c r="AU99" s="124"/>
      <c r="AV99" s="124"/>
      <c r="AW99" s="124"/>
      <c r="AX99" s="124"/>
      <c r="AY99" s="124"/>
      <c r="AZ99" s="124"/>
      <c r="BA99" s="124"/>
    </row>
    <row r="100" spans="1:53" s="139" customFormat="1" ht="15" x14ac:dyDescent="0.25">
      <c r="A100" s="177"/>
      <c r="B100" s="178" t="s">
        <v>133</v>
      </c>
      <c r="C100" s="261" t="s">
        <v>134</v>
      </c>
      <c r="D100" s="261"/>
      <c r="E100" s="261"/>
      <c r="F100" s="261"/>
      <c r="G100" s="261"/>
      <c r="H100" s="179" t="s">
        <v>61</v>
      </c>
      <c r="I100" s="183">
        <v>110</v>
      </c>
      <c r="J100" s="180"/>
      <c r="K100" s="183">
        <v>110</v>
      </c>
      <c r="L100" s="181"/>
      <c r="M100" s="180"/>
      <c r="N100" s="181"/>
      <c r="O100" s="180"/>
      <c r="P100" s="184">
        <f>P99*K100%</f>
        <v>2756.6000000000004</v>
      </c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63"/>
      <c r="AN100" s="163"/>
      <c r="AO100" s="163"/>
      <c r="AP100" s="163"/>
      <c r="AQ100" s="124" t="s">
        <v>134</v>
      </c>
      <c r="AR100" s="163"/>
      <c r="AS100" s="124"/>
      <c r="AT100" s="124"/>
      <c r="AU100" s="124"/>
      <c r="AV100" s="124"/>
      <c r="AW100" s="124"/>
      <c r="AX100" s="124"/>
      <c r="AY100" s="124"/>
      <c r="AZ100" s="124"/>
      <c r="BA100" s="124"/>
    </row>
    <row r="101" spans="1:53" s="139" customFormat="1" ht="15" x14ac:dyDescent="0.25">
      <c r="A101" s="177"/>
      <c r="B101" s="178" t="s">
        <v>135</v>
      </c>
      <c r="C101" s="261" t="s">
        <v>136</v>
      </c>
      <c r="D101" s="261"/>
      <c r="E101" s="261"/>
      <c r="F101" s="261"/>
      <c r="G101" s="261"/>
      <c r="H101" s="179" t="s">
        <v>61</v>
      </c>
      <c r="I101" s="183">
        <v>69</v>
      </c>
      <c r="J101" s="180"/>
      <c r="K101" s="183">
        <v>69</v>
      </c>
      <c r="L101" s="181"/>
      <c r="M101" s="180"/>
      <c r="N101" s="181"/>
      <c r="O101" s="180"/>
      <c r="P101" s="184">
        <f>P99*K101%</f>
        <v>1729.1399999999999</v>
      </c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63"/>
      <c r="AN101" s="163"/>
      <c r="AO101" s="163"/>
      <c r="AP101" s="163"/>
      <c r="AQ101" s="124" t="s">
        <v>136</v>
      </c>
      <c r="AR101" s="163"/>
      <c r="AS101" s="124"/>
      <c r="AT101" s="124"/>
      <c r="AU101" s="124"/>
      <c r="AV101" s="124"/>
      <c r="AW101" s="124"/>
      <c r="AX101" s="124"/>
      <c r="AY101" s="124"/>
      <c r="AZ101" s="124"/>
      <c r="BA101" s="124"/>
    </row>
    <row r="102" spans="1:53" s="139" customFormat="1" ht="15" x14ac:dyDescent="0.25">
      <c r="A102" s="185"/>
      <c r="B102" s="186"/>
      <c r="C102" s="259" t="s">
        <v>64</v>
      </c>
      <c r="D102" s="259"/>
      <c r="E102" s="259"/>
      <c r="F102" s="259"/>
      <c r="G102" s="259"/>
      <c r="H102" s="166"/>
      <c r="I102" s="167"/>
      <c r="J102" s="167"/>
      <c r="K102" s="167"/>
      <c r="L102" s="170"/>
      <c r="M102" s="167"/>
      <c r="N102" s="190">
        <v>972.5</v>
      </c>
      <c r="O102" s="167"/>
      <c r="P102" s="175">
        <f>P98+P100+P101</f>
        <v>7779.74</v>
      </c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63"/>
      <c r="AN102" s="163"/>
      <c r="AO102" s="163"/>
      <c r="AP102" s="163"/>
      <c r="AQ102" s="124"/>
      <c r="AR102" s="163" t="s">
        <v>64</v>
      </c>
      <c r="AS102" s="124"/>
      <c r="AT102" s="124"/>
      <c r="AU102" s="124"/>
      <c r="AV102" s="124"/>
      <c r="AW102" s="124"/>
      <c r="AX102" s="124"/>
      <c r="AY102" s="124"/>
      <c r="AZ102" s="124"/>
      <c r="BA102" s="124"/>
    </row>
    <row r="103" spans="1:53" s="139" customFormat="1" ht="23.25" x14ac:dyDescent="0.25">
      <c r="A103" s="164" t="s">
        <v>127</v>
      </c>
      <c r="B103" s="165" t="s">
        <v>170</v>
      </c>
      <c r="C103" s="260" t="s">
        <v>171</v>
      </c>
      <c r="D103" s="260"/>
      <c r="E103" s="260"/>
      <c r="F103" s="260"/>
      <c r="G103" s="260"/>
      <c r="H103" s="166" t="s">
        <v>96</v>
      </c>
      <c r="I103" s="167">
        <f>9.2/100*$O$34</f>
        <v>9.1999999999999993</v>
      </c>
      <c r="J103" s="168">
        <v>1</v>
      </c>
      <c r="K103" s="189">
        <v>9.1999999999999993</v>
      </c>
      <c r="L103" s="174">
        <v>1892.9</v>
      </c>
      <c r="M103" s="187">
        <v>1.25</v>
      </c>
      <c r="N103" s="174">
        <v>2366.13</v>
      </c>
      <c r="O103" s="167"/>
      <c r="P103" s="175">
        <f>I103*N103</f>
        <v>21768.396000000001</v>
      </c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63"/>
      <c r="AN103" s="163"/>
      <c r="AO103" s="163" t="s">
        <v>171</v>
      </c>
      <c r="AP103" s="163"/>
      <c r="AQ103" s="124"/>
      <c r="AR103" s="163"/>
      <c r="AS103" s="124"/>
      <c r="AT103" s="124"/>
      <c r="AU103" s="124"/>
      <c r="AV103" s="124"/>
      <c r="AW103" s="124"/>
      <c r="AX103" s="124"/>
      <c r="AY103" s="124"/>
      <c r="AZ103" s="124"/>
      <c r="BA103" s="124"/>
    </row>
    <row r="104" spans="1:53" s="139" customFormat="1" ht="15" x14ac:dyDescent="0.25">
      <c r="A104" s="185"/>
      <c r="B104" s="186"/>
      <c r="C104" s="259" t="s">
        <v>64</v>
      </c>
      <c r="D104" s="259"/>
      <c r="E104" s="259"/>
      <c r="F104" s="259"/>
      <c r="G104" s="259"/>
      <c r="H104" s="166"/>
      <c r="I104" s="167"/>
      <c r="J104" s="167"/>
      <c r="K104" s="167"/>
      <c r="L104" s="170"/>
      <c r="M104" s="167"/>
      <c r="N104" s="170"/>
      <c r="O104" s="167"/>
      <c r="P104" s="175">
        <f>P103</f>
        <v>21768.396000000001</v>
      </c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63"/>
      <c r="AN104" s="163"/>
      <c r="AO104" s="163"/>
      <c r="AP104" s="163"/>
      <c r="AQ104" s="124"/>
      <c r="AR104" s="163" t="s">
        <v>64</v>
      </c>
      <c r="AS104" s="124"/>
      <c r="AT104" s="124"/>
      <c r="AU104" s="124"/>
      <c r="AV104" s="124"/>
      <c r="AW104" s="124"/>
      <c r="AX104" s="124"/>
      <c r="AY104" s="124"/>
      <c r="AZ104" s="124"/>
      <c r="BA104" s="124"/>
    </row>
    <row r="105" spans="1:53" s="139" customFormat="1" ht="15" x14ac:dyDescent="0.25">
      <c r="A105" s="164" t="s">
        <v>130</v>
      </c>
      <c r="B105" s="165" t="s">
        <v>172</v>
      </c>
      <c r="C105" s="260" t="s">
        <v>195</v>
      </c>
      <c r="D105" s="260"/>
      <c r="E105" s="260"/>
      <c r="F105" s="260"/>
      <c r="G105" s="260"/>
      <c r="H105" s="166" t="s">
        <v>56</v>
      </c>
      <c r="I105" s="167">
        <f>0.2/100*$O$34</f>
        <v>0.2</v>
      </c>
      <c r="J105" s="168">
        <v>1</v>
      </c>
      <c r="K105" s="189">
        <v>0.2</v>
      </c>
      <c r="L105" s="170"/>
      <c r="M105" s="167"/>
      <c r="N105" s="170"/>
      <c r="O105" s="167"/>
      <c r="P105" s="171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63"/>
      <c r="AN105" s="163"/>
      <c r="AO105" s="163" t="s">
        <v>195</v>
      </c>
      <c r="AP105" s="163"/>
      <c r="AQ105" s="124"/>
      <c r="AR105" s="163"/>
      <c r="AS105" s="124"/>
      <c r="AT105" s="124"/>
      <c r="AU105" s="124"/>
      <c r="AV105" s="124"/>
      <c r="AW105" s="124"/>
      <c r="AX105" s="124"/>
      <c r="AY105" s="124"/>
      <c r="AZ105" s="124"/>
      <c r="BA105" s="124"/>
    </row>
    <row r="106" spans="1:53" s="139" customFormat="1" ht="15" x14ac:dyDescent="0.25">
      <c r="A106" s="172"/>
      <c r="B106" s="173"/>
      <c r="C106" s="259" t="s">
        <v>57</v>
      </c>
      <c r="D106" s="259"/>
      <c r="E106" s="259"/>
      <c r="F106" s="259"/>
      <c r="G106" s="259"/>
      <c r="H106" s="166"/>
      <c r="I106" s="167"/>
      <c r="J106" s="167"/>
      <c r="K106" s="167"/>
      <c r="L106" s="170"/>
      <c r="M106" s="167"/>
      <c r="N106" s="174"/>
      <c r="O106" s="167"/>
      <c r="P106" s="175">
        <f>32417/100*$O$34</f>
        <v>32417</v>
      </c>
      <c r="Q106" s="176"/>
      <c r="R106" s="176"/>
      <c r="S106" s="122"/>
      <c r="T106" s="122"/>
      <c r="U106" s="122"/>
      <c r="V106" s="122"/>
      <c r="W106" s="122"/>
      <c r="X106" s="122"/>
      <c r="Y106" s="122"/>
      <c r="Z106" s="122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63"/>
      <c r="AN106" s="163"/>
      <c r="AO106" s="163"/>
      <c r="AP106" s="163" t="s">
        <v>57</v>
      </c>
      <c r="AQ106" s="124"/>
      <c r="AR106" s="163"/>
      <c r="AS106" s="124"/>
      <c r="AT106" s="124"/>
      <c r="AU106" s="124"/>
      <c r="AV106" s="124"/>
      <c r="AW106" s="124"/>
      <c r="AX106" s="124"/>
      <c r="AY106" s="124"/>
      <c r="AZ106" s="124"/>
      <c r="BA106" s="124"/>
    </row>
    <row r="107" spans="1:53" s="139" customFormat="1" ht="15" x14ac:dyDescent="0.25">
      <c r="A107" s="177"/>
      <c r="B107" s="178"/>
      <c r="C107" s="261" t="s">
        <v>58</v>
      </c>
      <c r="D107" s="261"/>
      <c r="E107" s="261"/>
      <c r="F107" s="261"/>
      <c r="G107" s="261"/>
      <c r="H107" s="179"/>
      <c r="I107" s="180"/>
      <c r="J107" s="180"/>
      <c r="K107" s="180"/>
      <c r="L107" s="181"/>
      <c r="M107" s="180"/>
      <c r="N107" s="181"/>
      <c r="O107" s="180"/>
      <c r="P107" s="184">
        <f>24790/100*$O$34</f>
        <v>24790</v>
      </c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63"/>
      <c r="AN107" s="163"/>
      <c r="AO107" s="163"/>
      <c r="AP107" s="163"/>
      <c r="AQ107" s="124" t="s">
        <v>58</v>
      </c>
      <c r="AR107" s="163"/>
      <c r="AS107" s="124"/>
      <c r="AT107" s="124"/>
      <c r="AU107" s="124"/>
      <c r="AV107" s="124"/>
      <c r="AW107" s="124"/>
      <c r="AX107" s="124"/>
      <c r="AY107" s="124"/>
      <c r="AZ107" s="124"/>
      <c r="BA107" s="124"/>
    </row>
    <row r="108" spans="1:53" s="139" customFormat="1" ht="23.25" x14ac:dyDescent="0.25">
      <c r="A108" s="177"/>
      <c r="B108" s="178" t="s">
        <v>174</v>
      </c>
      <c r="C108" s="261" t="s">
        <v>175</v>
      </c>
      <c r="D108" s="261"/>
      <c r="E108" s="261"/>
      <c r="F108" s="261"/>
      <c r="G108" s="261"/>
      <c r="H108" s="179" t="s">
        <v>61</v>
      </c>
      <c r="I108" s="183">
        <v>102</v>
      </c>
      <c r="J108" s="180"/>
      <c r="K108" s="183">
        <v>102</v>
      </c>
      <c r="L108" s="181"/>
      <c r="M108" s="180"/>
      <c r="N108" s="181"/>
      <c r="O108" s="180"/>
      <c r="P108" s="184">
        <f>P107*K108%</f>
        <v>25285.8</v>
      </c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63"/>
      <c r="AN108" s="163"/>
      <c r="AO108" s="163"/>
      <c r="AP108" s="163"/>
      <c r="AQ108" s="124" t="s">
        <v>175</v>
      </c>
      <c r="AR108" s="163"/>
      <c r="AS108" s="124"/>
      <c r="AT108" s="124"/>
      <c r="AU108" s="124"/>
      <c r="AV108" s="124"/>
      <c r="AW108" s="124"/>
      <c r="AX108" s="124"/>
      <c r="AY108" s="124"/>
      <c r="AZ108" s="124"/>
      <c r="BA108" s="124"/>
    </row>
    <row r="109" spans="1:53" s="139" customFormat="1" ht="23.25" x14ac:dyDescent="0.25">
      <c r="A109" s="177"/>
      <c r="B109" s="178" t="s">
        <v>176</v>
      </c>
      <c r="C109" s="261" t="s">
        <v>177</v>
      </c>
      <c r="D109" s="261"/>
      <c r="E109" s="261"/>
      <c r="F109" s="261"/>
      <c r="G109" s="261"/>
      <c r="H109" s="179" t="s">
        <v>61</v>
      </c>
      <c r="I109" s="183">
        <v>58</v>
      </c>
      <c r="J109" s="180"/>
      <c r="K109" s="183">
        <v>58</v>
      </c>
      <c r="L109" s="181"/>
      <c r="M109" s="180"/>
      <c r="N109" s="181"/>
      <c r="O109" s="180"/>
      <c r="P109" s="184">
        <f>P107*K109%</f>
        <v>14378.199999999999</v>
      </c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63"/>
      <c r="AN109" s="163"/>
      <c r="AO109" s="163"/>
      <c r="AP109" s="163"/>
      <c r="AQ109" s="124" t="s">
        <v>177</v>
      </c>
      <c r="AR109" s="163"/>
      <c r="AS109" s="124"/>
      <c r="AT109" s="124"/>
      <c r="AU109" s="124"/>
      <c r="AV109" s="124"/>
      <c r="AW109" s="124"/>
      <c r="AX109" s="124"/>
      <c r="AY109" s="124"/>
      <c r="AZ109" s="124"/>
      <c r="BA109" s="124"/>
    </row>
    <row r="110" spans="1:53" s="139" customFormat="1" ht="15" x14ac:dyDescent="0.25">
      <c r="A110" s="185"/>
      <c r="B110" s="186"/>
      <c r="C110" s="259" t="s">
        <v>64</v>
      </c>
      <c r="D110" s="259"/>
      <c r="E110" s="259"/>
      <c r="F110" s="259"/>
      <c r="G110" s="259"/>
      <c r="H110" s="166"/>
      <c r="I110" s="167"/>
      <c r="J110" s="167"/>
      <c r="K110" s="167"/>
      <c r="L110" s="170"/>
      <c r="M110" s="167"/>
      <c r="N110" s="174">
        <v>360405</v>
      </c>
      <c r="O110" s="167"/>
      <c r="P110" s="175">
        <f>P106+P108+P109</f>
        <v>72081</v>
      </c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63"/>
      <c r="AN110" s="163"/>
      <c r="AO110" s="163"/>
      <c r="AP110" s="163"/>
      <c r="AQ110" s="124"/>
      <c r="AR110" s="163" t="s">
        <v>64</v>
      </c>
      <c r="AS110" s="124"/>
      <c r="AT110" s="124"/>
      <c r="AU110" s="124"/>
      <c r="AV110" s="124"/>
      <c r="AW110" s="124"/>
      <c r="AX110" s="124"/>
      <c r="AY110" s="124"/>
      <c r="AZ110" s="124"/>
      <c r="BA110" s="124"/>
    </row>
    <row r="111" spans="1:53" s="139" customFormat="1" ht="15" x14ac:dyDescent="0.25">
      <c r="A111" s="164" t="s">
        <v>137</v>
      </c>
      <c r="B111" s="165" t="s">
        <v>201</v>
      </c>
      <c r="C111" s="260" t="s">
        <v>202</v>
      </c>
      <c r="D111" s="260"/>
      <c r="E111" s="260"/>
      <c r="F111" s="260"/>
      <c r="G111" s="260"/>
      <c r="H111" s="166" t="s">
        <v>96</v>
      </c>
      <c r="I111" s="167">
        <f>20.4/100*$O$34</f>
        <v>20.399999999999999</v>
      </c>
      <c r="J111" s="168">
        <v>1</v>
      </c>
      <c r="K111" s="189">
        <v>20.399999999999999</v>
      </c>
      <c r="L111" s="170"/>
      <c r="M111" s="167"/>
      <c r="N111" s="174">
        <v>7115.03</v>
      </c>
      <c r="O111" s="167"/>
      <c r="P111" s="175">
        <f>I111*N111</f>
        <v>145146.61199999999</v>
      </c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63"/>
      <c r="AN111" s="163"/>
      <c r="AO111" s="163" t="s">
        <v>202</v>
      </c>
      <c r="AP111" s="163"/>
      <c r="AQ111" s="124"/>
      <c r="AR111" s="163"/>
      <c r="AS111" s="124"/>
      <c r="AT111" s="124"/>
      <c r="AU111" s="124"/>
      <c r="AV111" s="124"/>
      <c r="AW111" s="124"/>
      <c r="AX111" s="124"/>
      <c r="AY111" s="124"/>
      <c r="AZ111" s="124"/>
      <c r="BA111" s="124"/>
    </row>
    <row r="112" spans="1:53" s="139" customFormat="1" ht="15" x14ac:dyDescent="0.25">
      <c r="A112" s="185"/>
      <c r="B112" s="186"/>
      <c r="C112" s="259" t="s">
        <v>64</v>
      </c>
      <c r="D112" s="259"/>
      <c r="E112" s="259"/>
      <c r="F112" s="259"/>
      <c r="G112" s="259"/>
      <c r="H112" s="166"/>
      <c r="I112" s="167"/>
      <c r="J112" s="167"/>
      <c r="K112" s="167"/>
      <c r="L112" s="170"/>
      <c r="M112" s="167"/>
      <c r="N112" s="170"/>
      <c r="O112" s="167"/>
      <c r="P112" s="175">
        <f>P111</f>
        <v>145146.61199999999</v>
      </c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63"/>
      <c r="AN112" s="163"/>
      <c r="AO112" s="163"/>
      <c r="AP112" s="163"/>
      <c r="AQ112" s="124"/>
      <c r="AR112" s="163" t="s">
        <v>64</v>
      </c>
      <c r="AS112" s="124"/>
      <c r="AT112" s="124"/>
      <c r="AU112" s="124"/>
      <c r="AV112" s="124"/>
      <c r="AW112" s="124"/>
      <c r="AX112" s="124"/>
      <c r="AY112" s="124"/>
      <c r="AZ112" s="124"/>
      <c r="BA112" s="124"/>
    </row>
    <row r="113" spans="1:53" s="139" customFormat="1" ht="57" x14ac:dyDescent="0.25">
      <c r="A113" s="164" t="s">
        <v>180</v>
      </c>
      <c r="B113" s="165" t="s">
        <v>245</v>
      </c>
      <c r="C113" s="260" t="s">
        <v>246</v>
      </c>
      <c r="D113" s="260"/>
      <c r="E113" s="260"/>
      <c r="F113" s="260"/>
      <c r="G113" s="260"/>
      <c r="H113" s="166" t="s">
        <v>234</v>
      </c>
      <c r="I113" s="167">
        <f>48.96/100*$O$34</f>
        <v>48.96</v>
      </c>
      <c r="J113" s="168">
        <v>1</v>
      </c>
      <c r="K113" s="187">
        <v>48.96</v>
      </c>
      <c r="L113" s="170"/>
      <c r="M113" s="167"/>
      <c r="N113" s="190">
        <v>476.66</v>
      </c>
      <c r="O113" s="167"/>
      <c r="P113" s="175">
        <f>I113*N113</f>
        <v>23337.2736</v>
      </c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63"/>
      <c r="AN113" s="163"/>
      <c r="AO113" s="163" t="s">
        <v>246</v>
      </c>
      <c r="AP113" s="163"/>
      <c r="AQ113" s="124"/>
      <c r="AR113" s="163"/>
      <c r="AS113" s="124"/>
      <c r="AT113" s="124"/>
      <c r="AU113" s="124"/>
      <c r="AV113" s="124"/>
      <c r="AW113" s="124"/>
      <c r="AX113" s="124"/>
      <c r="AY113" s="124"/>
      <c r="AZ113" s="124"/>
      <c r="BA113" s="124"/>
    </row>
    <row r="114" spans="1:53" s="139" customFormat="1" ht="15" x14ac:dyDescent="0.25">
      <c r="A114" s="185"/>
      <c r="B114" s="186"/>
      <c r="C114" s="259" t="s">
        <v>64</v>
      </c>
      <c r="D114" s="259"/>
      <c r="E114" s="259"/>
      <c r="F114" s="259"/>
      <c r="G114" s="259"/>
      <c r="H114" s="166"/>
      <c r="I114" s="167"/>
      <c r="J114" s="167"/>
      <c r="K114" s="167"/>
      <c r="L114" s="170"/>
      <c r="M114" s="167"/>
      <c r="N114" s="170"/>
      <c r="O114" s="167"/>
      <c r="P114" s="175">
        <f>P113</f>
        <v>23337.2736</v>
      </c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63"/>
      <c r="AN114" s="163"/>
      <c r="AO114" s="163"/>
      <c r="AP114" s="163"/>
      <c r="AQ114" s="124"/>
      <c r="AR114" s="163" t="s">
        <v>64</v>
      </c>
      <c r="AS114" s="124"/>
      <c r="AT114" s="124"/>
      <c r="AU114" s="124"/>
      <c r="AV114" s="124"/>
      <c r="AW114" s="124"/>
      <c r="AX114" s="124"/>
      <c r="AY114" s="124"/>
      <c r="AZ114" s="124"/>
      <c r="BA114" s="124"/>
    </row>
    <row r="115" spans="1:53" s="139" customFormat="1" ht="57" x14ac:dyDescent="0.25">
      <c r="A115" s="164" t="s">
        <v>183</v>
      </c>
      <c r="B115" s="165" t="s">
        <v>247</v>
      </c>
      <c r="C115" s="260" t="s">
        <v>248</v>
      </c>
      <c r="D115" s="260"/>
      <c r="E115" s="260"/>
      <c r="F115" s="260"/>
      <c r="G115" s="260"/>
      <c r="H115" s="166" t="s">
        <v>234</v>
      </c>
      <c r="I115" s="167">
        <f>48.96/100*$O$34</f>
        <v>48.96</v>
      </c>
      <c r="J115" s="168">
        <v>1</v>
      </c>
      <c r="K115" s="187">
        <v>48.96</v>
      </c>
      <c r="L115" s="170"/>
      <c r="M115" s="167"/>
      <c r="N115" s="190">
        <v>335.66</v>
      </c>
      <c r="O115" s="167"/>
      <c r="P115" s="175">
        <f>I115*N115</f>
        <v>16433.9136</v>
      </c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63"/>
      <c r="AN115" s="163"/>
      <c r="AO115" s="163" t="s">
        <v>248</v>
      </c>
      <c r="AP115" s="163"/>
      <c r="AQ115" s="124"/>
      <c r="AR115" s="163"/>
      <c r="AS115" s="124"/>
      <c r="AT115" s="124"/>
      <c r="AU115" s="124"/>
      <c r="AV115" s="124"/>
      <c r="AW115" s="124"/>
      <c r="AX115" s="124"/>
      <c r="AY115" s="124"/>
      <c r="AZ115" s="124"/>
      <c r="BA115" s="124"/>
    </row>
    <row r="116" spans="1:53" s="139" customFormat="1" ht="15" x14ac:dyDescent="0.25">
      <c r="A116" s="185"/>
      <c r="B116" s="186"/>
      <c r="C116" s="259" t="s">
        <v>64</v>
      </c>
      <c r="D116" s="259"/>
      <c r="E116" s="259"/>
      <c r="F116" s="259"/>
      <c r="G116" s="259"/>
      <c r="H116" s="166"/>
      <c r="I116" s="167"/>
      <c r="J116" s="167"/>
      <c r="K116" s="167"/>
      <c r="L116" s="170"/>
      <c r="M116" s="167"/>
      <c r="N116" s="170"/>
      <c r="O116" s="167"/>
      <c r="P116" s="175">
        <f>P115</f>
        <v>16433.9136</v>
      </c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63"/>
      <c r="AN116" s="163"/>
      <c r="AO116" s="163"/>
      <c r="AP116" s="163"/>
      <c r="AQ116" s="124"/>
      <c r="AR116" s="163" t="s">
        <v>64</v>
      </c>
      <c r="AS116" s="124"/>
      <c r="AT116" s="124"/>
      <c r="AU116" s="124"/>
      <c r="AV116" s="124"/>
      <c r="AW116" s="124"/>
      <c r="AX116" s="124"/>
      <c r="AY116" s="124"/>
      <c r="AZ116" s="124"/>
      <c r="BA116" s="124"/>
    </row>
    <row r="117" spans="1:53" s="139" customFormat="1" ht="15" x14ac:dyDescent="0.25">
      <c r="A117" s="164" t="s">
        <v>186</v>
      </c>
      <c r="B117" s="165" t="s">
        <v>181</v>
      </c>
      <c r="C117" s="260" t="s">
        <v>182</v>
      </c>
      <c r="D117" s="260"/>
      <c r="E117" s="260"/>
      <c r="F117" s="260"/>
      <c r="G117" s="260"/>
      <c r="H117" s="166" t="s">
        <v>56</v>
      </c>
      <c r="I117" s="167">
        <f>0.34/100*$O$34</f>
        <v>0.34</v>
      </c>
      <c r="J117" s="168">
        <v>1</v>
      </c>
      <c r="K117" s="187">
        <v>0.34</v>
      </c>
      <c r="L117" s="170"/>
      <c r="M117" s="167"/>
      <c r="N117" s="170"/>
      <c r="O117" s="167"/>
      <c r="P117" s="171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63"/>
      <c r="AN117" s="163"/>
      <c r="AO117" s="163" t="s">
        <v>182</v>
      </c>
      <c r="AP117" s="163"/>
      <c r="AQ117" s="124"/>
      <c r="AR117" s="163"/>
      <c r="AS117" s="124"/>
      <c r="AT117" s="124"/>
      <c r="AU117" s="124"/>
      <c r="AV117" s="124"/>
      <c r="AW117" s="124"/>
      <c r="AX117" s="124"/>
      <c r="AY117" s="124"/>
      <c r="AZ117" s="124"/>
      <c r="BA117" s="124"/>
    </row>
    <row r="118" spans="1:53" s="139" customFormat="1" ht="15" x14ac:dyDescent="0.25">
      <c r="A118" s="172"/>
      <c r="B118" s="173"/>
      <c r="C118" s="259" t="s">
        <v>57</v>
      </c>
      <c r="D118" s="259"/>
      <c r="E118" s="259"/>
      <c r="F118" s="259"/>
      <c r="G118" s="259"/>
      <c r="H118" s="166"/>
      <c r="I118" s="167"/>
      <c r="J118" s="167"/>
      <c r="K118" s="167"/>
      <c r="L118" s="170"/>
      <c r="M118" s="167"/>
      <c r="N118" s="174"/>
      <c r="O118" s="167"/>
      <c r="P118" s="175">
        <f>17608/100*$O$34</f>
        <v>17608</v>
      </c>
      <c r="Q118" s="176"/>
      <c r="R118" s="176"/>
      <c r="S118" s="122"/>
      <c r="T118" s="122"/>
      <c r="U118" s="122"/>
      <c r="V118" s="122"/>
      <c r="W118" s="122"/>
      <c r="X118" s="122"/>
      <c r="Y118" s="122"/>
      <c r="Z118" s="122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63"/>
      <c r="AN118" s="163"/>
      <c r="AO118" s="163"/>
      <c r="AP118" s="163" t="s">
        <v>57</v>
      </c>
      <c r="AQ118" s="124"/>
      <c r="AR118" s="163"/>
      <c r="AS118" s="124"/>
      <c r="AT118" s="124"/>
      <c r="AU118" s="124"/>
      <c r="AV118" s="124"/>
      <c r="AW118" s="124"/>
      <c r="AX118" s="124"/>
      <c r="AY118" s="124"/>
      <c r="AZ118" s="124"/>
      <c r="BA118" s="124"/>
    </row>
    <row r="119" spans="1:53" s="139" customFormat="1" ht="15" x14ac:dyDescent="0.25">
      <c r="A119" s="177"/>
      <c r="B119" s="178"/>
      <c r="C119" s="261" t="s">
        <v>58</v>
      </c>
      <c r="D119" s="261"/>
      <c r="E119" s="261"/>
      <c r="F119" s="261"/>
      <c r="G119" s="261"/>
      <c r="H119" s="179"/>
      <c r="I119" s="180"/>
      <c r="J119" s="180"/>
      <c r="K119" s="180"/>
      <c r="L119" s="181"/>
      <c r="M119" s="180"/>
      <c r="N119" s="181"/>
      <c r="O119" s="180"/>
      <c r="P119" s="184">
        <f>13624/100*$O$34</f>
        <v>13624</v>
      </c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63"/>
      <c r="AN119" s="163"/>
      <c r="AO119" s="163"/>
      <c r="AP119" s="163"/>
      <c r="AQ119" s="124" t="s">
        <v>58</v>
      </c>
      <c r="AR119" s="163"/>
      <c r="AS119" s="124"/>
      <c r="AT119" s="124"/>
      <c r="AU119" s="124"/>
      <c r="AV119" s="124"/>
      <c r="AW119" s="124"/>
      <c r="AX119" s="124"/>
      <c r="AY119" s="124"/>
      <c r="AZ119" s="124"/>
      <c r="BA119" s="124"/>
    </row>
    <row r="120" spans="1:53" s="139" customFormat="1" ht="15" x14ac:dyDescent="0.25">
      <c r="A120" s="177"/>
      <c r="B120" s="178" t="s">
        <v>111</v>
      </c>
      <c r="C120" s="261" t="s">
        <v>112</v>
      </c>
      <c r="D120" s="261"/>
      <c r="E120" s="261"/>
      <c r="F120" s="261"/>
      <c r="G120" s="261"/>
      <c r="H120" s="179" t="s">
        <v>61</v>
      </c>
      <c r="I120" s="183">
        <v>94</v>
      </c>
      <c r="J120" s="180"/>
      <c r="K120" s="183">
        <v>94</v>
      </c>
      <c r="L120" s="181"/>
      <c r="M120" s="180"/>
      <c r="N120" s="181"/>
      <c r="O120" s="180"/>
      <c r="P120" s="184">
        <f>P119*K120%</f>
        <v>12806.56</v>
      </c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63"/>
      <c r="AN120" s="163"/>
      <c r="AO120" s="163"/>
      <c r="AP120" s="163"/>
      <c r="AQ120" s="124" t="s">
        <v>112</v>
      </c>
      <c r="AR120" s="163"/>
      <c r="AS120" s="124"/>
      <c r="AT120" s="124"/>
      <c r="AU120" s="124"/>
      <c r="AV120" s="124"/>
      <c r="AW120" s="124"/>
      <c r="AX120" s="124"/>
      <c r="AY120" s="124"/>
      <c r="AZ120" s="124"/>
      <c r="BA120" s="124"/>
    </row>
    <row r="121" spans="1:53" s="139" customFormat="1" ht="15" x14ac:dyDescent="0.25">
      <c r="A121" s="177"/>
      <c r="B121" s="178" t="s">
        <v>113</v>
      </c>
      <c r="C121" s="261" t="s">
        <v>114</v>
      </c>
      <c r="D121" s="261"/>
      <c r="E121" s="261"/>
      <c r="F121" s="261"/>
      <c r="G121" s="261"/>
      <c r="H121" s="179" t="s">
        <v>61</v>
      </c>
      <c r="I121" s="183">
        <v>51</v>
      </c>
      <c r="J121" s="180"/>
      <c r="K121" s="183">
        <v>51</v>
      </c>
      <c r="L121" s="181"/>
      <c r="M121" s="180"/>
      <c r="N121" s="181"/>
      <c r="O121" s="180"/>
      <c r="P121" s="184">
        <f>P119*K121%</f>
        <v>6948.24</v>
      </c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63"/>
      <c r="AN121" s="163"/>
      <c r="AO121" s="163"/>
      <c r="AP121" s="163"/>
      <c r="AQ121" s="124" t="s">
        <v>114</v>
      </c>
      <c r="AR121" s="163"/>
      <c r="AS121" s="124"/>
      <c r="AT121" s="124"/>
      <c r="AU121" s="124"/>
      <c r="AV121" s="124"/>
      <c r="AW121" s="124"/>
      <c r="AX121" s="124"/>
      <c r="AY121" s="124"/>
      <c r="AZ121" s="124"/>
      <c r="BA121" s="124"/>
    </row>
    <row r="122" spans="1:53" s="139" customFormat="1" ht="15" x14ac:dyDescent="0.25">
      <c r="A122" s="185"/>
      <c r="B122" s="186"/>
      <c r="C122" s="259" t="s">
        <v>64</v>
      </c>
      <c r="D122" s="259"/>
      <c r="E122" s="259"/>
      <c r="F122" s="259"/>
      <c r="G122" s="259"/>
      <c r="H122" s="166"/>
      <c r="I122" s="167"/>
      <c r="J122" s="167"/>
      <c r="K122" s="167"/>
      <c r="L122" s="170"/>
      <c r="M122" s="167"/>
      <c r="N122" s="174">
        <v>109891.18</v>
      </c>
      <c r="O122" s="167"/>
      <c r="P122" s="175">
        <f>P118+P120+P121</f>
        <v>37362.799999999996</v>
      </c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63"/>
      <c r="AN122" s="163"/>
      <c r="AO122" s="163"/>
      <c r="AP122" s="163"/>
      <c r="AQ122" s="124"/>
      <c r="AR122" s="163" t="s">
        <v>64</v>
      </c>
      <c r="AS122" s="124"/>
      <c r="AT122" s="124"/>
      <c r="AU122" s="124"/>
      <c r="AV122" s="124"/>
      <c r="AW122" s="124"/>
      <c r="AX122" s="124"/>
      <c r="AY122" s="124"/>
      <c r="AZ122" s="124"/>
      <c r="BA122" s="124"/>
    </row>
    <row r="123" spans="1:53" s="139" customFormat="1" ht="15" x14ac:dyDescent="0.25">
      <c r="A123" s="164" t="s">
        <v>189</v>
      </c>
      <c r="B123" s="165" t="s">
        <v>184</v>
      </c>
      <c r="C123" s="260" t="s">
        <v>185</v>
      </c>
      <c r="D123" s="260"/>
      <c r="E123" s="260"/>
      <c r="F123" s="260"/>
      <c r="G123" s="260"/>
      <c r="H123" s="166" t="s">
        <v>96</v>
      </c>
      <c r="I123" s="167">
        <f>35.02/100*$O$34</f>
        <v>35.020000000000003</v>
      </c>
      <c r="J123" s="168">
        <v>1</v>
      </c>
      <c r="K123" s="187">
        <v>35.020000000000003</v>
      </c>
      <c r="L123" s="174">
        <v>2283.27</v>
      </c>
      <c r="M123" s="187">
        <v>1.06</v>
      </c>
      <c r="N123" s="174">
        <v>2420.27</v>
      </c>
      <c r="O123" s="167"/>
      <c r="P123" s="175">
        <f>I123*N123</f>
        <v>84757.8554</v>
      </c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63"/>
      <c r="AN123" s="163"/>
      <c r="AO123" s="163" t="s">
        <v>185</v>
      </c>
      <c r="AP123" s="163"/>
      <c r="AQ123" s="124"/>
      <c r="AR123" s="163"/>
      <c r="AS123" s="124"/>
      <c r="AT123" s="124"/>
      <c r="AU123" s="124"/>
      <c r="AV123" s="124"/>
      <c r="AW123" s="124"/>
      <c r="AX123" s="124"/>
      <c r="AY123" s="124"/>
      <c r="AZ123" s="124"/>
      <c r="BA123" s="124"/>
    </row>
    <row r="124" spans="1:53" s="139" customFormat="1" ht="15" x14ac:dyDescent="0.25">
      <c r="A124" s="185"/>
      <c r="B124" s="186"/>
      <c r="C124" s="259" t="s">
        <v>64</v>
      </c>
      <c r="D124" s="259"/>
      <c r="E124" s="259"/>
      <c r="F124" s="259"/>
      <c r="G124" s="259"/>
      <c r="H124" s="166"/>
      <c r="I124" s="167"/>
      <c r="J124" s="167"/>
      <c r="K124" s="167"/>
      <c r="L124" s="170"/>
      <c r="M124" s="167"/>
      <c r="N124" s="170"/>
      <c r="O124" s="167"/>
      <c r="P124" s="175">
        <f>P123</f>
        <v>84757.8554</v>
      </c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63"/>
      <c r="AN124" s="163"/>
      <c r="AO124" s="163"/>
      <c r="AP124" s="163"/>
      <c r="AQ124" s="124"/>
      <c r="AR124" s="163" t="s">
        <v>64</v>
      </c>
      <c r="AS124" s="124"/>
      <c r="AT124" s="124"/>
      <c r="AU124" s="124"/>
      <c r="AV124" s="124"/>
      <c r="AW124" s="124"/>
      <c r="AX124" s="124"/>
      <c r="AY124" s="124"/>
      <c r="AZ124" s="124"/>
      <c r="BA124" s="124"/>
    </row>
    <row r="125" spans="1:53" s="139" customFormat="1" ht="23.25" x14ac:dyDescent="0.25">
      <c r="A125" s="164" t="s">
        <v>190</v>
      </c>
      <c r="B125" s="165" t="s">
        <v>196</v>
      </c>
      <c r="C125" s="260" t="s">
        <v>197</v>
      </c>
      <c r="D125" s="260"/>
      <c r="E125" s="260"/>
      <c r="F125" s="260"/>
      <c r="G125" s="260"/>
      <c r="H125" s="166" t="s">
        <v>84</v>
      </c>
      <c r="I125" s="167">
        <f>7/100*$O$34</f>
        <v>7.0000000000000009</v>
      </c>
      <c r="J125" s="168">
        <v>1</v>
      </c>
      <c r="K125" s="168">
        <v>7</v>
      </c>
      <c r="L125" s="170"/>
      <c r="M125" s="167"/>
      <c r="N125" s="170"/>
      <c r="O125" s="167"/>
      <c r="P125" s="171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63"/>
      <c r="AN125" s="163"/>
      <c r="AO125" s="163" t="s">
        <v>197</v>
      </c>
      <c r="AP125" s="163"/>
      <c r="AQ125" s="124"/>
      <c r="AR125" s="163"/>
      <c r="AS125" s="124"/>
      <c r="AT125" s="124"/>
      <c r="AU125" s="124"/>
      <c r="AV125" s="124"/>
      <c r="AW125" s="124"/>
      <c r="AX125" s="124"/>
      <c r="AY125" s="124"/>
      <c r="AZ125" s="124"/>
      <c r="BA125" s="124"/>
    </row>
    <row r="126" spans="1:53" s="139" customFormat="1" ht="15" x14ac:dyDescent="0.25">
      <c r="A126" s="172"/>
      <c r="B126" s="173"/>
      <c r="C126" s="259" t="s">
        <v>57</v>
      </c>
      <c r="D126" s="259"/>
      <c r="E126" s="259"/>
      <c r="F126" s="259"/>
      <c r="G126" s="259"/>
      <c r="H126" s="166"/>
      <c r="I126" s="167"/>
      <c r="J126" s="167"/>
      <c r="K126" s="167"/>
      <c r="L126" s="170"/>
      <c r="M126" s="167"/>
      <c r="N126" s="174"/>
      <c r="O126" s="167"/>
      <c r="P126" s="175">
        <f>413034/100*$O$34</f>
        <v>413034</v>
      </c>
      <c r="Q126" s="176"/>
      <c r="R126" s="176"/>
      <c r="S126" s="122"/>
      <c r="T126" s="122"/>
      <c r="U126" s="122"/>
      <c r="V126" s="122"/>
      <c r="W126" s="122"/>
      <c r="X126" s="122"/>
      <c r="Y126" s="122"/>
      <c r="Z126" s="122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63"/>
      <c r="AN126" s="163"/>
      <c r="AO126" s="163"/>
      <c r="AP126" s="163" t="s">
        <v>57</v>
      </c>
      <c r="AQ126" s="124"/>
      <c r="AR126" s="163"/>
      <c r="AS126" s="124"/>
      <c r="AT126" s="124"/>
      <c r="AU126" s="124"/>
      <c r="AV126" s="124"/>
      <c r="AW126" s="124"/>
      <c r="AX126" s="124"/>
      <c r="AY126" s="124"/>
      <c r="AZ126" s="124"/>
      <c r="BA126" s="124"/>
    </row>
    <row r="127" spans="1:53" s="139" customFormat="1" ht="15" x14ac:dyDescent="0.25">
      <c r="A127" s="177"/>
      <c r="B127" s="178"/>
      <c r="C127" s="261" t="s">
        <v>58</v>
      </c>
      <c r="D127" s="261"/>
      <c r="E127" s="261"/>
      <c r="F127" s="261"/>
      <c r="G127" s="261"/>
      <c r="H127" s="179"/>
      <c r="I127" s="180"/>
      <c r="J127" s="180"/>
      <c r="K127" s="180"/>
      <c r="L127" s="181"/>
      <c r="M127" s="180"/>
      <c r="N127" s="181"/>
      <c r="O127" s="180"/>
      <c r="P127" s="184">
        <f>317568/100*$O$34</f>
        <v>317568</v>
      </c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63"/>
      <c r="AN127" s="163"/>
      <c r="AO127" s="163"/>
      <c r="AP127" s="163"/>
      <c r="AQ127" s="124" t="s">
        <v>58</v>
      </c>
      <c r="AR127" s="163"/>
      <c r="AS127" s="124"/>
      <c r="AT127" s="124"/>
      <c r="AU127" s="124"/>
      <c r="AV127" s="124"/>
      <c r="AW127" s="124"/>
      <c r="AX127" s="124"/>
      <c r="AY127" s="124"/>
      <c r="AZ127" s="124"/>
      <c r="BA127" s="124"/>
    </row>
    <row r="128" spans="1:53" s="139" customFormat="1" ht="23.25" x14ac:dyDescent="0.25">
      <c r="A128" s="177"/>
      <c r="B128" s="178" t="s">
        <v>85</v>
      </c>
      <c r="C128" s="261" t="s">
        <v>86</v>
      </c>
      <c r="D128" s="261"/>
      <c r="E128" s="261"/>
      <c r="F128" s="261"/>
      <c r="G128" s="261"/>
      <c r="H128" s="179" t="s">
        <v>61</v>
      </c>
      <c r="I128" s="183">
        <v>89</v>
      </c>
      <c r="J128" s="180"/>
      <c r="K128" s="183">
        <v>89</v>
      </c>
      <c r="L128" s="181"/>
      <c r="M128" s="180"/>
      <c r="N128" s="181"/>
      <c r="O128" s="180"/>
      <c r="P128" s="184">
        <f>P127*K128%</f>
        <v>282635.52000000002</v>
      </c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63"/>
      <c r="AN128" s="163"/>
      <c r="AO128" s="163"/>
      <c r="AP128" s="163"/>
      <c r="AQ128" s="124" t="s">
        <v>86</v>
      </c>
      <c r="AR128" s="163"/>
      <c r="AS128" s="124"/>
      <c r="AT128" s="124"/>
      <c r="AU128" s="124"/>
      <c r="AV128" s="124"/>
      <c r="AW128" s="124"/>
      <c r="AX128" s="124"/>
      <c r="AY128" s="124"/>
      <c r="AZ128" s="124"/>
      <c r="BA128" s="124"/>
    </row>
    <row r="129" spans="1:53" s="139" customFormat="1" ht="23.25" x14ac:dyDescent="0.25">
      <c r="A129" s="177"/>
      <c r="B129" s="178" t="s">
        <v>87</v>
      </c>
      <c r="C129" s="261" t="s">
        <v>88</v>
      </c>
      <c r="D129" s="261"/>
      <c r="E129" s="261"/>
      <c r="F129" s="261"/>
      <c r="G129" s="261"/>
      <c r="H129" s="179" t="s">
        <v>61</v>
      </c>
      <c r="I129" s="183">
        <v>41</v>
      </c>
      <c r="J129" s="180"/>
      <c r="K129" s="183">
        <v>41</v>
      </c>
      <c r="L129" s="181"/>
      <c r="M129" s="180"/>
      <c r="N129" s="181"/>
      <c r="O129" s="180"/>
      <c r="P129" s="184">
        <f>P127*K129%</f>
        <v>130202.87999999999</v>
      </c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63"/>
      <c r="AN129" s="163"/>
      <c r="AO129" s="163"/>
      <c r="AP129" s="163"/>
      <c r="AQ129" s="124" t="s">
        <v>88</v>
      </c>
      <c r="AR129" s="163"/>
      <c r="AS129" s="124"/>
      <c r="AT129" s="124"/>
      <c r="AU129" s="124"/>
      <c r="AV129" s="124"/>
      <c r="AW129" s="124"/>
      <c r="AX129" s="124"/>
      <c r="AY129" s="124"/>
      <c r="AZ129" s="124"/>
      <c r="BA129" s="124"/>
    </row>
    <row r="130" spans="1:53" s="139" customFormat="1" ht="15" x14ac:dyDescent="0.25">
      <c r="A130" s="185"/>
      <c r="B130" s="186"/>
      <c r="C130" s="259" t="s">
        <v>64</v>
      </c>
      <c r="D130" s="259"/>
      <c r="E130" s="259"/>
      <c r="F130" s="259"/>
      <c r="G130" s="259"/>
      <c r="H130" s="166"/>
      <c r="I130" s="167"/>
      <c r="J130" s="167"/>
      <c r="K130" s="167"/>
      <c r="L130" s="170"/>
      <c r="M130" s="167"/>
      <c r="N130" s="174">
        <v>117981.86</v>
      </c>
      <c r="O130" s="167"/>
      <c r="P130" s="175">
        <f>P126+P128+P129</f>
        <v>825872.4</v>
      </c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63"/>
      <c r="AN130" s="163"/>
      <c r="AO130" s="163"/>
      <c r="AP130" s="163"/>
      <c r="AQ130" s="124"/>
      <c r="AR130" s="163" t="s">
        <v>64</v>
      </c>
      <c r="AS130" s="124"/>
      <c r="AT130" s="124"/>
      <c r="AU130" s="124"/>
      <c r="AV130" s="124"/>
      <c r="AW130" s="124"/>
      <c r="AX130" s="124"/>
      <c r="AY130" s="124"/>
      <c r="AZ130" s="124"/>
      <c r="BA130" s="124"/>
    </row>
    <row r="131" spans="1:53" s="139" customFormat="1" ht="34.5" x14ac:dyDescent="0.25">
      <c r="A131" s="164" t="s">
        <v>200</v>
      </c>
      <c r="B131" s="165" t="s">
        <v>198</v>
      </c>
      <c r="C131" s="260" t="s">
        <v>199</v>
      </c>
      <c r="D131" s="260"/>
      <c r="E131" s="260"/>
      <c r="F131" s="260"/>
      <c r="G131" s="260"/>
      <c r="H131" s="166" t="s">
        <v>84</v>
      </c>
      <c r="I131" s="167">
        <f>7/100*$O$34</f>
        <v>7.0000000000000009</v>
      </c>
      <c r="J131" s="168">
        <v>1</v>
      </c>
      <c r="K131" s="168">
        <v>7</v>
      </c>
      <c r="L131" s="170"/>
      <c r="M131" s="167"/>
      <c r="N131" s="170"/>
      <c r="O131" s="167"/>
      <c r="P131" s="171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63"/>
      <c r="AN131" s="163"/>
      <c r="AO131" s="163" t="s">
        <v>199</v>
      </c>
      <c r="AP131" s="163"/>
      <c r="AQ131" s="124"/>
      <c r="AR131" s="163"/>
      <c r="AS131" s="124"/>
      <c r="AT131" s="124"/>
      <c r="AU131" s="124"/>
      <c r="AV131" s="124"/>
      <c r="AW131" s="124"/>
      <c r="AX131" s="124"/>
      <c r="AY131" s="124"/>
      <c r="AZ131" s="124"/>
      <c r="BA131" s="124"/>
    </row>
    <row r="132" spans="1:53" s="139" customFormat="1" ht="15" x14ac:dyDescent="0.25">
      <c r="A132" s="172"/>
      <c r="B132" s="173"/>
      <c r="C132" s="259" t="s">
        <v>57</v>
      </c>
      <c r="D132" s="259"/>
      <c r="E132" s="259"/>
      <c r="F132" s="259"/>
      <c r="G132" s="259"/>
      <c r="H132" s="166"/>
      <c r="I132" s="167"/>
      <c r="J132" s="167"/>
      <c r="K132" s="167"/>
      <c r="L132" s="170"/>
      <c r="M132" s="167"/>
      <c r="N132" s="174"/>
      <c r="O132" s="167"/>
      <c r="P132" s="175">
        <f>153755/100*$O$34</f>
        <v>153755</v>
      </c>
      <c r="Q132" s="176"/>
      <c r="R132" s="176"/>
      <c r="S132" s="122"/>
      <c r="T132" s="122"/>
      <c r="U132" s="122"/>
      <c r="V132" s="122"/>
      <c r="W132" s="122"/>
      <c r="X132" s="122"/>
      <c r="Y132" s="122"/>
      <c r="Z132" s="122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63"/>
      <c r="AN132" s="163"/>
      <c r="AO132" s="163"/>
      <c r="AP132" s="163" t="s">
        <v>57</v>
      </c>
      <c r="AQ132" s="124"/>
      <c r="AR132" s="163"/>
      <c r="AS132" s="124"/>
      <c r="AT132" s="124"/>
      <c r="AU132" s="124"/>
      <c r="AV132" s="124"/>
      <c r="AW132" s="124"/>
      <c r="AX132" s="124"/>
      <c r="AY132" s="124"/>
      <c r="AZ132" s="124"/>
      <c r="BA132" s="124"/>
    </row>
    <row r="133" spans="1:53" s="139" customFormat="1" ht="15" x14ac:dyDescent="0.25">
      <c r="A133" s="177"/>
      <c r="B133" s="178"/>
      <c r="C133" s="261" t="s">
        <v>58</v>
      </c>
      <c r="D133" s="261"/>
      <c r="E133" s="261"/>
      <c r="F133" s="261"/>
      <c r="G133" s="261"/>
      <c r="H133" s="179"/>
      <c r="I133" s="180"/>
      <c r="J133" s="180"/>
      <c r="K133" s="180"/>
      <c r="L133" s="181"/>
      <c r="M133" s="180"/>
      <c r="N133" s="181"/>
      <c r="O133" s="180"/>
      <c r="P133" s="184">
        <f>119010/100*$O$34</f>
        <v>119009.99999999999</v>
      </c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63"/>
      <c r="AN133" s="163"/>
      <c r="AO133" s="163"/>
      <c r="AP133" s="163"/>
      <c r="AQ133" s="124" t="s">
        <v>58</v>
      </c>
      <c r="AR133" s="163"/>
      <c r="AS133" s="124"/>
      <c r="AT133" s="124"/>
      <c r="AU133" s="124"/>
      <c r="AV133" s="124"/>
      <c r="AW133" s="124"/>
      <c r="AX133" s="124"/>
      <c r="AY133" s="124"/>
      <c r="AZ133" s="124"/>
      <c r="BA133" s="124"/>
    </row>
    <row r="134" spans="1:53" s="139" customFormat="1" ht="23.25" x14ac:dyDescent="0.25">
      <c r="A134" s="177"/>
      <c r="B134" s="178" t="s">
        <v>85</v>
      </c>
      <c r="C134" s="261" t="s">
        <v>86</v>
      </c>
      <c r="D134" s="261"/>
      <c r="E134" s="261"/>
      <c r="F134" s="261"/>
      <c r="G134" s="261"/>
      <c r="H134" s="179" t="s">
        <v>61</v>
      </c>
      <c r="I134" s="183">
        <v>89</v>
      </c>
      <c r="J134" s="180"/>
      <c r="K134" s="183">
        <v>89</v>
      </c>
      <c r="L134" s="181"/>
      <c r="M134" s="180"/>
      <c r="N134" s="181"/>
      <c r="O134" s="180"/>
      <c r="P134" s="184">
        <f>P133*K134%</f>
        <v>105918.9</v>
      </c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63"/>
      <c r="AN134" s="163"/>
      <c r="AO134" s="163"/>
      <c r="AP134" s="163"/>
      <c r="AQ134" s="124" t="s">
        <v>86</v>
      </c>
      <c r="AR134" s="163"/>
      <c r="AS134" s="124"/>
      <c r="AT134" s="124"/>
      <c r="AU134" s="124"/>
      <c r="AV134" s="124"/>
      <c r="AW134" s="124"/>
      <c r="AX134" s="124"/>
      <c r="AY134" s="124"/>
      <c r="AZ134" s="124"/>
      <c r="BA134" s="124"/>
    </row>
    <row r="135" spans="1:53" s="139" customFormat="1" ht="23.25" x14ac:dyDescent="0.25">
      <c r="A135" s="177"/>
      <c r="B135" s="178" t="s">
        <v>87</v>
      </c>
      <c r="C135" s="261" t="s">
        <v>88</v>
      </c>
      <c r="D135" s="261"/>
      <c r="E135" s="261"/>
      <c r="F135" s="261"/>
      <c r="G135" s="261"/>
      <c r="H135" s="179" t="s">
        <v>61</v>
      </c>
      <c r="I135" s="183">
        <v>41</v>
      </c>
      <c r="J135" s="180"/>
      <c r="K135" s="183">
        <v>41</v>
      </c>
      <c r="L135" s="181"/>
      <c r="M135" s="180"/>
      <c r="N135" s="181"/>
      <c r="O135" s="180"/>
      <c r="P135" s="184">
        <f>P133*K135%</f>
        <v>48794.099999999991</v>
      </c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63"/>
      <c r="AN135" s="163"/>
      <c r="AO135" s="163"/>
      <c r="AP135" s="163"/>
      <c r="AQ135" s="124" t="s">
        <v>88</v>
      </c>
      <c r="AR135" s="163"/>
      <c r="AS135" s="124"/>
      <c r="AT135" s="124"/>
      <c r="AU135" s="124"/>
      <c r="AV135" s="124"/>
      <c r="AW135" s="124"/>
      <c r="AX135" s="124"/>
      <c r="AY135" s="124"/>
      <c r="AZ135" s="124"/>
      <c r="BA135" s="124"/>
    </row>
    <row r="136" spans="1:53" s="139" customFormat="1" ht="15" x14ac:dyDescent="0.25">
      <c r="A136" s="185"/>
      <c r="B136" s="186"/>
      <c r="C136" s="259" t="s">
        <v>64</v>
      </c>
      <c r="D136" s="259"/>
      <c r="E136" s="259"/>
      <c r="F136" s="259"/>
      <c r="G136" s="259"/>
      <c r="H136" s="166"/>
      <c r="I136" s="167"/>
      <c r="J136" s="167"/>
      <c r="K136" s="167"/>
      <c r="L136" s="170"/>
      <c r="M136" s="167"/>
      <c r="N136" s="174">
        <v>44066.86</v>
      </c>
      <c r="O136" s="167"/>
      <c r="P136" s="175">
        <f>P132+P134+P135</f>
        <v>308468</v>
      </c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63"/>
      <c r="AN136" s="163"/>
      <c r="AO136" s="163"/>
      <c r="AP136" s="163"/>
      <c r="AQ136" s="124"/>
      <c r="AR136" s="163" t="s">
        <v>64</v>
      </c>
      <c r="AS136" s="124"/>
      <c r="AT136" s="124"/>
      <c r="AU136" s="124"/>
      <c r="AV136" s="124"/>
      <c r="AW136" s="124"/>
      <c r="AX136" s="124"/>
      <c r="AY136" s="124"/>
      <c r="AZ136" s="124"/>
      <c r="BA136" s="124"/>
    </row>
    <row r="137" spans="1:53" s="139" customFormat="1" ht="23.25" x14ac:dyDescent="0.25">
      <c r="A137" s="164" t="s">
        <v>212</v>
      </c>
      <c r="B137" s="165" t="s">
        <v>170</v>
      </c>
      <c r="C137" s="260" t="s">
        <v>171</v>
      </c>
      <c r="D137" s="260"/>
      <c r="E137" s="260"/>
      <c r="F137" s="260"/>
      <c r="G137" s="260"/>
      <c r="H137" s="166" t="s">
        <v>96</v>
      </c>
      <c r="I137" s="167">
        <f>105/100*$O$34</f>
        <v>105</v>
      </c>
      <c r="J137" s="168">
        <v>1</v>
      </c>
      <c r="K137" s="168">
        <v>105</v>
      </c>
      <c r="L137" s="174">
        <v>1892.9</v>
      </c>
      <c r="M137" s="187">
        <v>1.25</v>
      </c>
      <c r="N137" s="174">
        <v>2366.13</v>
      </c>
      <c r="O137" s="167"/>
      <c r="P137" s="175">
        <f>I137*N137</f>
        <v>248443.65000000002</v>
      </c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63"/>
      <c r="AN137" s="163"/>
      <c r="AO137" s="163" t="s">
        <v>171</v>
      </c>
      <c r="AP137" s="163"/>
      <c r="AQ137" s="124"/>
      <c r="AR137" s="163"/>
      <c r="AS137" s="124"/>
      <c r="AT137" s="124"/>
      <c r="AU137" s="124"/>
      <c r="AV137" s="124"/>
      <c r="AW137" s="124"/>
      <c r="AX137" s="124"/>
      <c r="AY137" s="124"/>
      <c r="AZ137" s="124"/>
      <c r="BA137" s="124"/>
    </row>
    <row r="138" spans="1:53" s="139" customFormat="1" ht="15" x14ac:dyDescent="0.25">
      <c r="A138" s="185"/>
      <c r="B138" s="186"/>
      <c r="C138" s="259" t="s">
        <v>64</v>
      </c>
      <c r="D138" s="259"/>
      <c r="E138" s="259"/>
      <c r="F138" s="259"/>
      <c r="G138" s="259"/>
      <c r="H138" s="166"/>
      <c r="I138" s="167"/>
      <c r="J138" s="167"/>
      <c r="K138" s="167"/>
      <c r="L138" s="170"/>
      <c r="M138" s="167"/>
      <c r="N138" s="170"/>
      <c r="O138" s="167"/>
      <c r="P138" s="175">
        <f>P137</f>
        <v>248443.65000000002</v>
      </c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63"/>
      <c r="AN138" s="163"/>
      <c r="AO138" s="163"/>
      <c r="AP138" s="163"/>
      <c r="AQ138" s="124"/>
      <c r="AR138" s="163" t="s">
        <v>64</v>
      </c>
      <c r="AS138" s="124"/>
      <c r="AT138" s="124"/>
      <c r="AU138" s="124"/>
      <c r="AV138" s="124"/>
      <c r="AW138" s="124"/>
      <c r="AX138" s="124"/>
      <c r="AY138" s="124"/>
      <c r="AZ138" s="124"/>
      <c r="BA138" s="124"/>
    </row>
    <row r="139" spans="1:53" s="139" customFormat="1" ht="15" x14ac:dyDescent="0.25">
      <c r="A139" s="164" t="s">
        <v>249</v>
      </c>
      <c r="B139" s="165" t="s">
        <v>201</v>
      </c>
      <c r="C139" s="260" t="s">
        <v>202</v>
      </c>
      <c r="D139" s="260"/>
      <c r="E139" s="260"/>
      <c r="F139" s="260"/>
      <c r="G139" s="260"/>
      <c r="H139" s="166" t="s">
        <v>96</v>
      </c>
      <c r="I139" s="167">
        <f>112/100*$O$34</f>
        <v>112.00000000000001</v>
      </c>
      <c r="J139" s="168">
        <v>1</v>
      </c>
      <c r="K139" s="168">
        <v>112</v>
      </c>
      <c r="L139" s="170"/>
      <c r="M139" s="167"/>
      <c r="N139" s="174">
        <v>7115.03</v>
      </c>
      <c r="O139" s="167"/>
      <c r="P139" s="175">
        <f>I139*N139</f>
        <v>796883.3600000001</v>
      </c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63"/>
      <c r="AN139" s="163"/>
      <c r="AO139" s="163" t="s">
        <v>202</v>
      </c>
      <c r="AP139" s="163"/>
      <c r="AQ139" s="124"/>
      <c r="AR139" s="163"/>
      <c r="AS139" s="124"/>
      <c r="AT139" s="124"/>
      <c r="AU139" s="124"/>
      <c r="AV139" s="124"/>
      <c r="AW139" s="124"/>
      <c r="AX139" s="124"/>
      <c r="AY139" s="124"/>
      <c r="AZ139" s="124"/>
      <c r="BA139" s="124"/>
    </row>
    <row r="140" spans="1:53" s="139" customFormat="1" ht="15" x14ac:dyDescent="0.25">
      <c r="A140" s="185"/>
      <c r="B140" s="186"/>
      <c r="C140" s="259" t="s">
        <v>64</v>
      </c>
      <c r="D140" s="259"/>
      <c r="E140" s="259"/>
      <c r="F140" s="259"/>
      <c r="G140" s="259"/>
      <c r="H140" s="166"/>
      <c r="I140" s="167"/>
      <c r="J140" s="167"/>
      <c r="K140" s="167"/>
      <c r="L140" s="170"/>
      <c r="M140" s="167"/>
      <c r="N140" s="170"/>
      <c r="O140" s="167"/>
      <c r="P140" s="175">
        <f>P139</f>
        <v>796883.3600000001</v>
      </c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63"/>
      <c r="AN140" s="163"/>
      <c r="AO140" s="163"/>
      <c r="AP140" s="163"/>
      <c r="AQ140" s="124"/>
      <c r="AR140" s="163" t="s">
        <v>64</v>
      </c>
      <c r="AS140" s="124"/>
      <c r="AT140" s="124"/>
      <c r="AU140" s="124"/>
      <c r="AV140" s="124"/>
      <c r="AW140" s="124"/>
      <c r="AX140" s="124"/>
      <c r="AY140" s="124"/>
      <c r="AZ140" s="124"/>
      <c r="BA140" s="124"/>
    </row>
    <row r="141" spans="1:53" s="139" customFormat="1" ht="57" x14ac:dyDescent="0.25">
      <c r="A141" s="164" t="s">
        <v>250</v>
      </c>
      <c r="B141" s="165" t="s">
        <v>245</v>
      </c>
      <c r="C141" s="260" t="s">
        <v>246</v>
      </c>
      <c r="D141" s="260"/>
      <c r="E141" s="260"/>
      <c r="F141" s="260"/>
      <c r="G141" s="260"/>
      <c r="H141" s="166" t="s">
        <v>234</v>
      </c>
      <c r="I141" s="167">
        <f>268.8/100*$O$34</f>
        <v>268.8</v>
      </c>
      <c r="J141" s="168">
        <v>1</v>
      </c>
      <c r="K141" s="189">
        <v>268.8</v>
      </c>
      <c r="L141" s="170"/>
      <c r="M141" s="167"/>
      <c r="N141" s="190">
        <v>476.66</v>
      </c>
      <c r="O141" s="167"/>
      <c r="P141" s="175">
        <f>I141*N141</f>
        <v>128126.20800000001</v>
      </c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63"/>
      <c r="AN141" s="163"/>
      <c r="AO141" s="163" t="s">
        <v>246</v>
      </c>
      <c r="AP141" s="163"/>
      <c r="AQ141" s="124"/>
      <c r="AR141" s="163"/>
      <c r="AS141" s="124"/>
      <c r="AT141" s="124"/>
      <c r="AU141" s="124"/>
      <c r="AV141" s="124"/>
      <c r="AW141" s="124"/>
      <c r="AX141" s="124"/>
      <c r="AY141" s="124"/>
      <c r="AZ141" s="124"/>
      <c r="BA141" s="124"/>
    </row>
    <row r="142" spans="1:53" s="139" customFormat="1" ht="15" x14ac:dyDescent="0.25">
      <c r="A142" s="185"/>
      <c r="B142" s="186"/>
      <c r="C142" s="259" t="s">
        <v>64</v>
      </c>
      <c r="D142" s="259"/>
      <c r="E142" s="259"/>
      <c r="F142" s="259"/>
      <c r="G142" s="259"/>
      <c r="H142" s="166"/>
      <c r="I142" s="167"/>
      <c r="J142" s="167"/>
      <c r="K142" s="167"/>
      <c r="L142" s="170"/>
      <c r="M142" s="167"/>
      <c r="N142" s="170"/>
      <c r="O142" s="167"/>
      <c r="P142" s="175">
        <f>P141</f>
        <v>128126.20800000001</v>
      </c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63"/>
      <c r="AN142" s="163"/>
      <c r="AO142" s="163"/>
      <c r="AP142" s="163"/>
      <c r="AQ142" s="124"/>
      <c r="AR142" s="163" t="s">
        <v>64</v>
      </c>
      <c r="AS142" s="124"/>
      <c r="AT142" s="124"/>
      <c r="AU142" s="124"/>
      <c r="AV142" s="124"/>
      <c r="AW142" s="124"/>
      <c r="AX142" s="124"/>
      <c r="AY142" s="124"/>
      <c r="AZ142" s="124"/>
      <c r="BA142" s="124"/>
    </row>
    <row r="143" spans="1:53" s="139" customFormat="1" ht="57" x14ac:dyDescent="0.25">
      <c r="A143" s="164" t="s">
        <v>251</v>
      </c>
      <c r="B143" s="165" t="s">
        <v>247</v>
      </c>
      <c r="C143" s="260" t="s">
        <v>248</v>
      </c>
      <c r="D143" s="260"/>
      <c r="E143" s="260"/>
      <c r="F143" s="260"/>
      <c r="G143" s="260"/>
      <c r="H143" s="166" t="s">
        <v>234</v>
      </c>
      <c r="I143" s="167">
        <f>268.8/100*$O$34</f>
        <v>268.8</v>
      </c>
      <c r="J143" s="168">
        <v>1</v>
      </c>
      <c r="K143" s="189">
        <v>268.8</v>
      </c>
      <c r="L143" s="170"/>
      <c r="M143" s="167"/>
      <c r="N143" s="190">
        <v>335.66</v>
      </c>
      <c r="O143" s="167"/>
      <c r="P143" s="175">
        <f>I143*N143</f>
        <v>90225.40800000001</v>
      </c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63"/>
      <c r="AN143" s="163"/>
      <c r="AO143" s="163" t="s">
        <v>248</v>
      </c>
      <c r="AP143" s="163"/>
      <c r="AQ143" s="124"/>
      <c r="AR143" s="163"/>
      <c r="AS143" s="124"/>
      <c r="AT143" s="124"/>
      <c r="AU143" s="124"/>
      <c r="AV143" s="124"/>
      <c r="AW143" s="124"/>
      <c r="AX143" s="124"/>
      <c r="AY143" s="124"/>
      <c r="AZ143" s="124"/>
      <c r="BA143" s="124"/>
    </row>
    <row r="144" spans="1:53" s="139" customFormat="1" ht="15" x14ac:dyDescent="0.25">
      <c r="A144" s="185"/>
      <c r="B144" s="186"/>
      <c r="C144" s="259" t="s">
        <v>64</v>
      </c>
      <c r="D144" s="259"/>
      <c r="E144" s="259"/>
      <c r="F144" s="259"/>
      <c r="G144" s="259"/>
      <c r="H144" s="166"/>
      <c r="I144" s="167"/>
      <c r="J144" s="167"/>
      <c r="K144" s="167"/>
      <c r="L144" s="170"/>
      <c r="M144" s="167"/>
      <c r="N144" s="170"/>
      <c r="O144" s="167"/>
      <c r="P144" s="175">
        <f>P143</f>
        <v>90225.40800000001</v>
      </c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63"/>
      <c r="AN144" s="163"/>
      <c r="AO144" s="163"/>
      <c r="AP144" s="163"/>
      <c r="AQ144" s="124"/>
      <c r="AR144" s="163" t="s">
        <v>64</v>
      </c>
      <c r="AS144" s="124"/>
      <c r="AT144" s="124"/>
      <c r="AU144" s="124"/>
      <c r="AV144" s="124"/>
      <c r="AW144" s="124"/>
      <c r="AX144" s="124"/>
      <c r="AY144" s="124"/>
      <c r="AZ144" s="124"/>
      <c r="BA144" s="124"/>
    </row>
    <row r="145" spans="1:53" s="139" customFormat="1" ht="0" hidden="1" customHeight="1" x14ac:dyDescent="0.25">
      <c r="A145" s="191"/>
      <c r="B145" s="192"/>
      <c r="C145" s="192"/>
      <c r="D145" s="192"/>
      <c r="E145" s="192"/>
      <c r="F145" s="193"/>
      <c r="G145" s="193"/>
      <c r="H145" s="193"/>
      <c r="I145" s="193"/>
      <c r="J145" s="194"/>
      <c r="K145" s="193"/>
      <c r="L145" s="193"/>
      <c r="M145" s="193"/>
      <c r="N145" s="194"/>
      <c r="O145" s="195"/>
      <c r="P145" s="194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63"/>
      <c r="AN145" s="163"/>
      <c r="AO145" s="163"/>
      <c r="AP145" s="163"/>
      <c r="AQ145" s="124"/>
      <c r="AR145" s="163"/>
      <c r="AS145" s="124"/>
      <c r="AT145" s="124"/>
      <c r="AU145" s="124"/>
      <c r="AV145" s="124"/>
      <c r="AW145" s="124"/>
      <c r="AX145" s="124"/>
      <c r="AY145" s="124"/>
      <c r="AZ145" s="124"/>
      <c r="BA145" s="124"/>
    </row>
    <row r="146" spans="1:53" s="139" customFormat="1" ht="15" x14ac:dyDescent="0.25">
      <c r="A146" s="172"/>
      <c r="B146" s="196"/>
      <c r="C146" s="257" t="s">
        <v>140</v>
      </c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197"/>
      <c r="Q146" s="127"/>
      <c r="R146" s="127"/>
      <c r="S146" s="122"/>
      <c r="T146" s="122"/>
      <c r="U146" s="122"/>
      <c r="V146" s="122"/>
      <c r="W146" s="122"/>
      <c r="X146" s="122"/>
      <c r="Y146" s="122"/>
      <c r="Z146" s="122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63" t="s">
        <v>140</v>
      </c>
      <c r="AT146" s="124"/>
      <c r="AU146" s="124"/>
      <c r="AV146" s="124"/>
      <c r="AW146" s="124"/>
      <c r="AX146" s="124"/>
      <c r="AY146" s="124"/>
      <c r="AZ146" s="124"/>
      <c r="BA146" s="124"/>
    </row>
    <row r="147" spans="1:53" s="139" customFormat="1" ht="15" x14ac:dyDescent="0.25">
      <c r="A147" s="172"/>
      <c r="B147" s="173"/>
      <c r="C147" s="253" t="s">
        <v>141</v>
      </c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198">
        <f>2412633/100*$O$34</f>
        <v>2412633</v>
      </c>
      <c r="Q147" s="127"/>
      <c r="R147" s="127"/>
      <c r="S147" s="122"/>
      <c r="T147" s="122"/>
      <c r="U147" s="122"/>
      <c r="V147" s="122"/>
      <c r="W147" s="122"/>
      <c r="X147" s="122"/>
      <c r="Y147" s="122"/>
      <c r="Z147" s="122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63"/>
      <c r="AT147" s="199" t="s">
        <v>141</v>
      </c>
      <c r="AU147" s="124"/>
      <c r="AV147" s="124"/>
      <c r="AW147" s="124"/>
      <c r="AX147" s="124"/>
      <c r="AY147" s="124"/>
      <c r="AZ147" s="124"/>
      <c r="BA147" s="124"/>
    </row>
    <row r="148" spans="1:53" s="139" customFormat="1" ht="15" x14ac:dyDescent="0.25">
      <c r="A148" s="172"/>
      <c r="B148" s="173"/>
      <c r="C148" s="253" t="s">
        <v>142</v>
      </c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198">
        <f>3158224/100*$O$34</f>
        <v>3158224</v>
      </c>
      <c r="Q148" s="127"/>
      <c r="R148" s="127"/>
      <c r="S148" s="122"/>
      <c r="T148" s="122"/>
      <c r="U148" s="122"/>
      <c r="V148" s="122"/>
      <c r="W148" s="122"/>
      <c r="X148" s="122"/>
      <c r="Y148" s="122"/>
      <c r="Z148" s="122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63"/>
      <c r="AT148" s="199" t="s">
        <v>142</v>
      </c>
      <c r="AU148" s="124"/>
      <c r="AV148" s="124"/>
      <c r="AW148" s="124"/>
      <c r="AX148" s="124"/>
      <c r="AY148" s="124"/>
      <c r="AZ148" s="124"/>
      <c r="BA148" s="124"/>
    </row>
    <row r="149" spans="1:53" s="139" customFormat="1" ht="15" x14ac:dyDescent="0.25">
      <c r="A149" s="172"/>
      <c r="B149" s="173"/>
      <c r="C149" s="253" t="s">
        <v>144</v>
      </c>
      <c r="D149" s="253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198">
        <f>P43+P49+P55+P61+P68+P74+P81+P91+P99+P107+P119+P127+P133</f>
        <v>549924</v>
      </c>
      <c r="Q149" s="127"/>
      <c r="R149" s="127"/>
      <c r="S149" s="122"/>
      <c r="T149" s="122"/>
      <c r="U149" s="122"/>
      <c r="V149" s="122"/>
      <c r="W149" s="122"/>
      <c r="X149" s="122"/>
      <c r="Y149" s="122"/>
      <c r="Z149" s="122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63"/>
      <c r="AT149" s="199" t="s">
        <v>144</v>
      </c>
      <c r="AU149" s="124"/>
      <c r="AV149" s="124"/>
      <c r="AW149" s="124"/>
      <c r="AX149" s="124"/>
      <c r="AY149" s="124"/>
      <c r="AZ149" s="124"/>
      <c r="BA149" s="124"/>
    </row>
    <row r="150" spans="1:53" s="139" customFormat="1" ht="15" x14ac:dyDescent="0.25">
      <c r="A150" s="172"/>
      <c r="B150" s="173"/>
      <c r="C150" s="253" t="s">
        <v>145</v>
      </c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198">
        <f t="shared" ref="P150:P151" si="0">P44+P50+P56+P62+P69+P75+P82+P92+P100+P108+P120+P128+P134</f>
        <v>501539.39</v>
      </c>
      <c r="Q150" s="127"/>
      <c r="R150" s="127"/>
      <c r="S150" s="122"/>
      <c r="T150" s="122"/>
      <c r="U150" s="122"/>
      <c r="V150" s="122"/>
      <c r="W150" s="122"/>
      <c r="X150" s="122"/>
      <c r="Y150" s="122"/>
      <c r="Z150" s="122"/>
      <c r="AA150" s="124"/>
      <c r="AB150" s="124"/>
      <c r="AC150" s="124"/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63"/>
      <c r="AT150" s="199" t="s">
        <v>145</v>
      </c>
      <c r="AU150" s="124"/>
      <c r="AV150" s="124"/>
      <c r="AW150" s="124"/>
      <c r="AX150" s="124"/>
      <c r="AY150" s="124"/>
      <c r="AZ150" s="124"/>
      <c r="BA150" s="124"/>
    </row>
    <row r="151" spans="1:53" s="139" customFormat="1" ht="15" x14ac:dyDescent="0.25">
      <c r="A151" s="172"/>
      <c r="B151" s="173"/>
      <c r="C151" s="253" t="s">
        <v>146</v>
      </c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  <c r="P151" s="198">
        <f t="shared" si="0"/>
        <v>244050.26999999996</v>
      </c>
      <c r="Q151" s="127"/>
      <c r="R151" s="127"/>
      <c r="S151" s="122"/>
      <c r="T151" s="122"/>
      <c r="U151" s="122"/>
      <c r="V151" s="122"/>
      <c r="W151" s="122"/>
      <c r="X151" s="122"/>
      <c r="Y151" s="122"/>
      <c r="Z151" s="122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63"/>
      <c r="AT151" s="199" t="s">
        <v>146</v>
      </c>
      <c r="AU151" s="124"/>
      <c r="AV151" s="124"/>
      <c r="AW151" s="124"/>
      <c r="AX151" s="124"/>
      <c r="AY151" s="124"/>
      <c r="AZ151" s="124"/>
      <c r="BA151" s="124"/>
    </row>
    <row r="152" spans="1:53" s="139" customFormat="1" ht="15" x14ac:dyDescent="0.25">
      <c r="A152" s="172"/>
      <c r="B152" s="196"/>
      <c r="C152" s="257" t="s">
        <v>147</v>
      </c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00">
        <f>P147+P150+P151</f>
        <v>3158222.66</v>
      </c>
      <c r="Q152" s="127"/>
      <c r="R152" s="127"/>
      <c r="S152" s="122"/>
      <c r="T152" s="122"/>
      <c r="U152" s="122"/>
      <c r="V152" s="122"/>
      <c r="W152" s="122"/>
      <c r="X152" s="122"/>
      <c r="Y152" s="122"/>
      <c r="Z152" s="122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63"/>
      <c r="AT152" s="199"/>
      <c r="AU152" s="163" t="s">
        <v>147</v>
      </c>
      <c r="AV152" s="124"/>
      <c r="AW152" s="124"/>
      <c r="AX152" s="124"/>
      <c r="AY152" s="124"/>
      <c r="AZ152" s="124"/>
      <c r="BA152" s="124"/>
    </row>
    <row r="153" spans="1:53" s="139" customFormat="1" ht="15" x14ac:dyDescent="0.25">
      <c r="A153" s="172"/>
      <c r="B153" s="196"/>
      <c r="C153" s="257" t="s">
        <v>148</v>
      </c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01"/>
      <c r="Q153" s="127"/>
      <c r="R153" s="127"/>
      <c r="S153" s="122"/>
      <c r="T153" s="122"/>
      <c r="U153" s="122"/>
      <c r="V153" s="122"/>
      <c r="W153" s="122"/>
      <c r="X153" s="122"/>
      <c r="Y153" s="122"/>
      <c r="Z153" s="122"/>
      <c r="AA153" s="124"/>
      <c r="AB153" s="124"/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63" t="s">
        <v>148</v>
      </c>
      <c r="AW153" s="124"/>
      <c r="AX153" s="124"/>
      <c r="AY153" s="124"/>
      <c r="AZ153" s="124"/>
      <c r="BA153" s="124"/>
    </row>
    <row r="154" spans="1:53" s="139" customFormat="1" ht="15" x14ac:dyDescent="0.25">
      <c r="A154" s="172"/>
      <c r="B154" s="196"/>
      <c r="C154" s="258" t="s">
        <v>150</v>
      </c>
      <c r="D154" s="258"/>
      <c r="E154" s="258"/>
      <c r="F154" s="258"/>
      <c r="G154" s="258"/>
      <c r="H154" s="258"/>
      <c r="I154" s="258"/>
      <c r="J154" s="258"/>
      <c r="K154" s="202">
        <f>1463.19731/100*$O$34</f>
        <v>1463.19731</v>
      </c>
      <c r="L154" s="258"/>
      <c r="M154" s="258"/>
      <c r="N154" s="258"/>
      <c r="O154" s="258"/>
      <c r="P154" s="203"/>
      <c r="Q154" s="127"/>
      <c r="R154" s="127"/>
      <c r="S154" s="122"/>
      <c r="T154" s="122"/>
      <c r="U154" s="122"/>
      <c r="V154" s="122"/>
      <c r="W154" s="122"/>
      <c r="X154" s="122"/>
      <c r="Y154" s="122"/>
      <c r="Z154" s="122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63"/>
      <c r="AW154" s="199" t="s">
        <v>150</v>
      </c>
      <c r="AX154" s="124"/>
      <c r="AY154" s="124"/>
      <c r="AZ154" s="124"/>
      <c r="BA154" s="124"/>
    </row>
    <row r="155" spans="1:53" s="139" customFormat="1" ht="15" x14ac:dyDescent="0.25">
      <c r="A155" s="172"/>
      <c r="B155" s="196"/>
      <c r="C155" s="258" t="s">
        <v>151</v>
      </c>
      <c r="D155" s="258"/>
      <c r="E155" s="258"/>
      <c r="F155" s="258"/>
      <c r="G155" s="258"/>
      <c r="H155" s="258"/>
      <c r="I155" s="258"/>
      <c r="J155" s="258"/>
      <c r="K155" s="204">
        <f>49.5908/100*$O$34</f>
        <v>49.590800000000002</v>
      </c>
      <c r="L155" s="258"/>
      <c r="M155" s="258"/>
      <c r="N155" s="258"/>
      <c r="O155" s="258"/>
      <c r="P155" s="203"/>
      <c r="Q155" s="127"/>
      <c r="R155" s="127"/>
      <c r="S155" s="122"/>
      <c r="T155" s="122"/>
      <c r="U155" s="122"/>
      <c r="V155" s="122"/>
      <c r="W155" s="122"/>
      <c r="X155" s="122"/>
      <c r="Y155" s="122"/>
      <c r="Z155" s="122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63"/>
      <c r="AW155" s="199" t="s">
        <v>151</v>
      </c>
      <c r="AX155" s="124"/>
      <c r="AY155" s="124"/>
      <c r="AZ155" s="124"/>
      <c r="BA155" s="124"/>
    </row>
    <row r="156" spans="1:53" s="139" customFormat="1" ht="11.25" hidden="1" customHeight="1" x14ac:dyDescent="0.2">
      <c r="A156" s="120"/>
      <c r="B156" s="194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205"/>
      <c r="O156" s="206"/>
      <c r="P156" s="207"/>
      <c r="Q156" s="127"/>
      <c r="R156" s="127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</row>
    <row r="157" spans="1:53" s="122" customFormat="1" ht="26.25" customHeight="1" x14ac:dyDescent="0.25">
      <c r="A157" s="208"/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</row>
    <row r="158" spans="1:53" s="139" customFormat="1" ht="15" x14ac:dyDescent="0.25">
      <c r="A158" s="123"/>
      <c r="B158" s="209" t="s">
        <v>152</v>
      </c>
      <c r="C158" s="254"/>
      <c r="D158" s="254"/>
      <c r="E158" s="254"/>
      <c r="F158" s="254"/>
      <c r="G158" s="254"/>
      <c r="H158" s="254"/>
      <c r="I158" s="255"/>
      <c r="J158" s="255"/>
      <c r="K158" s="255"/>
      <c r="L158" s="255"/>
      <c r="M158" s="255"/>
      <c r="N158" s="255"/>
      <c r="O158" s="122"/>
      <c r="P158" s="122"/>
      <c r="Q158" s="127"/>
      <c r="R158" s="127"/>
      <c r="S158" s="122"/>
      <c r="T158" s="122"/>
      <c r="U158" s="122"/>
      <c r="V158" s="122"/>
      <c r="W158" s="122"/>
      <c r="X158" s="122"/>
      <c r="Y158" s="122"/>
      <c r="Z158" s="122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 t="s">
        <v>9</v>
      </c>
      <c r="AY158" s="124" t="s">
        <v>9</v>
      </c>
      <c r="AZ158" s="124"/>
      <c r="BA158" s="124"/>
    </row>
    <row r="159" spans="1:53" s="210" customFormat="1" ht="16.5" customHeight="1" x14ac:dyDescent="0.25">
      <c r="A159" s="129"/>
      <c r="B159" s="209"/>
      <c r="C159" s="256" t="s">
        <v>153</v>
      </c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Q159" s="211"/>
      <c r="R159" s="211"/>
      <c r="AA159" s="212"/>
      <c r="AB159" s="212"/>
      <c r="AC159" s="212"/>
      <c r="AD159" s="212"/>
      <c r="AE159" s="212"/>
      <c r="AF159" s="212"/>
      <c r="AG159" s="212"/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</row>
    <row r="160" spans="1:53" s="139" customFormat="1" ht="15" x14ac:dyDescent="0.25">
      <c r="A160" s="123"/>
      <c r="B160" s="209" t="s">
        <v>154</v>
      </c>
      <c r="C160" s="254"/>
      <c r="D160" s="254"/>
      <c r="E160" s="254"/>
      <c r="F160" s="254"/>
      <c r="G160" s="254"/>
      <c r="H160" s="254"/>
      <c r="I160" s="255"/>
      <c r="J160" s="255"/>
      <c r="K160" s="255"/>
      <c r="L160" s="255"/>
      <c r="M160" s="255"/>
      <c r="N160" s="255"/>
      <c r="O160" s="122"/>
      <c r="P160" s="122"/>
      <c r="Q160" s="127"/>
      <c r="R160" s="127"/>
      <c r="S160" s="122"/>
      <c r="T160" s="122"/>
      <c r="U160" s="122"/>
      <c r="V160" s="122"/>
      <c r="W160" s="122"/>
      <c r="X160" s="122"/>
      <c r="Y160" s="122"/>
      <c r="Z160" s="122"/>
      <c r="AA160" s="124"/>
      <c r="AB160" s="124"/>
      <c r="AC160" s="124"/>
      <c r="AD160" s="124"/>
      <c r="AE160" s="124"/>
      <c r="AF160" s="124"/>
      <c r="AG160" s="124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  <c r="AV160" s="124"/>
      <c r="AW160" s="124"/>
      <c r="AX160" s="124"/>
      <c r="AY160" s="124"/>
      <c r="AZ160" s="124" t="s">
        <v>9</v>
      </c>
      <c r="BA160" s="124" t="s">
        <v>9</v>
      </c>
    </row>
    <row r="161" spans="1:53" s="210" customFormat="1" ht="16.5" customHeight="1" x14ac:dyDescent="0.25">
      <c r="A161" s="129"/>
      <c r="C161" s="256" t="s">
        <v>153</v>
      </c>
      <c r="D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Q161" s="211"/>
      <c r="R161" s="211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</row>
    <row r="162" spans="1:53" s="122" customFormat="1" ht="12" customHeight="1" x14ac:dyDescent="0.25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</row>
    <row r="163" spans="1:53" s="122" customFormat="1" ht="26.25" customHeight="1" x14ac:dyDescent="0.25">
      <c r="A163" s="251" t="s">
        <v>155</v>
      </c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</row>
    <row r="164" spans="1:53" s="122" customFormat="1" ht="17.25" customHeight="1" x14ac:dyDescent="0.25">
      <c r="A164" s="253" t="s">
        <v>156</v>
      </c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</row>
    <row r="165" spans="1:53" s="122" customFormat="1" ht="17.25" customHeight="1" x14ac:dyDescent="0.25">
      <c r="A165" s="253" t="s">
        <v>157</v>
      </c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</row>
    <row r="166" spans="1:53" s="122" customFormat="1" ht="13.5" customHeight="1" x14ac:dyDescent="0.25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</row>
    <row r="167" spans="1:53" s="122" customFormat="1" ht="15" x14ac:dyDescent="0.25">
      <c r="A167" s="120"/>
    </row>
    <row r="168" spans="1:53" s="122" customFormat="1" ht="15" x14ac:dyDescent="0.25">
      <c r="A168" s="120"/>
    </row>
    <row r="169" spans="1:53" s="122" customFormat="1" ht="15" x14ac:dyDescent="0.25">
      <c r="A169" s="120"/>
    </row>
    <row r="170" spans="1:53" s="122" customFormat="1" ht="15" x14ac:dyDescent="0.25">
      <c r="A170" s="120"/>
    </row>
    <row r="171" spans="1:53" s="122" customFormat="1" ht="15" x14ac:dyDescent="0.25">
      <c r="A171" s="120"/>
    </row>
    <row r="172" spans="1:53" s="122" customFormat="1" ht="15" x14ac:dyDescent="0.25">
      <c r="A172" s="120"/>
    </row>
    <row r="173" spans="1:53" s="122" customFormat="1" ht="15" x14ac:dyDescent="0.25">
      <c r="A173" s="120"/>
    </row>
    <row r="174" spans="1:53" s="122" customFormat="1" ht="15" x14ac:dyDescent="0.25">
      <c r="A174" s="120"/>
    </row>
    <row r="175" spans="1:53" s="122" customFormat="1" ht="15" x14ac:dyDescent="0.25">
      <c r="A175" s="120"/>
    </row>
    <row r="176" spans="1:53" s="122" customFormat="1" ht="15" x14ac:dyDescent="0.25">
      <c r="A176" s="120"/>
    </row>
    <row r="177" spans="1:1" s="122" customFormat="1" ht="15" x14ac:dyDescent="0.25">
      <c r="A177" s="120"/>
    </row>
    <row r="178" spans="1:1" s="122" customFormat="1" ht="15" x14ac:dyDescent="0.25">
      <c r="A178" s="120"/>
    </row>
    <row r="179" spans="1:1" s="122" customFormat="1" ht="15" x14ac:dyDescent="0.25">
      <c r="A179" s="120"/>
    </row>
    <row r="180" spans="1:1" s="122" customFormat="1" ht="15" x14ac:dyDescent="0.25">
      <c r="A180" s="120"/>
    </row>
    <row r="181" spans="1:1" s="122" customFormat="1" ht="15" x14ac:dyDescent="0.25">
      <c r="A181" s="120"/>
    </row>
    <row r="182" spans="1:1" s="122" customFormat="1" ht="15" x14ac:dyDescent="0.25">
      <c r="A182" s="120"/>
    </row>
    <row r="183" spans="1:1" s="122" customFormat="1" ht="15" x14ac:dyDescent="0.25">
      <c r="A183" s="120"/>
    </row>
    <row r="184" spans="1:1" s="122" customFormat="1" ht="15" x14ac:dyDescent="0.25">
      <c r="A184" s="120"/>
    </row>
    <row r="185" spans="1:1" s="122" customFormat="1" ht="15" x14ac:dyDescent="0.25">
      <c r="A185" s="120"/>
    </row>
    <row r="186" spans="1:1" s="122" customFormat="1" ht="15" x14ac:dyDescent="0.25">
      <c r="A186" s="120"/>
    </row>
    <row r="187" spans="1:1" s="122" customFormat="1" ht="15" x14ac:dyDescent="0.25">
      <c r="A187" s="120"/>
    </row>
    <row r="188" spans="1:1" s="122" customFormat="1" ht="15" x14ac:dyDescent="0.25">
      <c r="A188" s="120"/>
    </row>
    <row r="189" spans="1:1" s="122" customFormat="1" ht="15" x14ac:dyDescent="0.25">
      <c r="A189" s="120"/>
    </row>
    <row r="190" spans="1:1" s="122" customFormat="1" ht="15" x14ac:dyDescent="0.25">
      <c r="A190" s="120"/>
    </row>
    <row r="191" spans="1:1" s="122" customFormat="1" ht="15" x14ac:dyDescent="0.25">
      <c r="A191" s="120"/>
    </row>
    <row r="192" spans="1:1" s="122" customFormat="1" ht="15" x14ac:dyDescent="0.25">
      <c r="A192" s="120"/>
    </row>
    <row r="193" spans="1:1" s="122" customFormat="1" ht="15" x14ac:dyDescent="0.25">
      <c r="A193" s="120"/>
    </row>
    <row r="194" spans="1:1" s="122" customFormat="1" ht="15" x14ac:dyDescent="0.25">
      <c r="A194" s="120"/>
    </row>
    <row r="195" spans="1:1" s="122" customFormat="1" ht="15" x14ac:dyDescent="0.25">
      <c r="A195" s="120"/>
    </row>
    <row r="196" spans="1:1" s="122" customFormat="1" ht="15" x14ac:dyDescent="0.25">
      <c r="A196" s="120"/>
    </row>
    <row r="197" spans="1:1" s="122" customFormat="1" ht="15" x14ac:dyDescent="0.25">
      <c r="A197" s="120"/>
    </row>
    <row r="198" spans="1:1" s="122" customFormat="1" ht="15" x14ac:dyDescent="0.25">
      <c r="A198" s="120"/>
    </row>
    <row r="199" spans="1:1" s="122" customFormat="1" ht="15" x14ac:dyDescent="0.25">
      <c r="A199" s="120"/>
    </row>
    <row r="200" spans="1:1" s="122" customFormat="1" ht="15" x14ac:dyDescent="0.25">
      <c r="A200" s="120"/>
    </row>
    <row r="201" spans="1:1" s="122" customFormat="1" ht="15" x14ac:dyDescent="0.25">
      <c r="A201" s="120"/>
    </row>
  </sheetData>
  <mergeCells count="160">
    <mergeCell ref="A4:F4"/>
    <mergeCell ref="G4:P4"/>
    <mergeCell ref="A5:F5"/>
    <mergeCell ref="G5:P5"/>
    <mergeCell ref="A6:F6"/>
    <mergeCell ref="G6:P6"/>
    <mergeCell ref="A10:F10"/>
    <mergeCell ref="G10:P10"/>
    <mergeCell ref="A11:F11"/>
    <mergeCell ref="G11:P11"/>
    <mergeCell ref="A13:P13"/>
    <mergeCell ref="A14:P14"/>
    <mergeCell ref="A7:F7"/>
    <mergeCell ref="G7:P7"/>
    <mergeCell ref="A8:F8"/>
    <mergeCell ref="G8:P8"/>
    <mergeCell ref="A9:F9"/>
    <mergeCell ref="G9:P9"/>
    <mergeCell ref="B24:F24"/>
    <mergeCell ref="C26:F26"/>
    <mergeCell ref="A35:A37"/>
    <mergeCell ref="B35:B37"/>
    <mergeCell ref="C35:G37"/>
    <mergeCell ref="H35:H37"/>
    <mergeCell ref="A16:P16"/>
    <mergeCell ref="A17:P17"/>
    <mergeCell ref="A18:P18"/>
    <mergeCell ref="A20:P20"/>
    <mergeCell ref="A21:P21"/>
    <mergeCell ref="B23:F23"/>
    <mergeCell ref="C42:G42"/>
    <mergeCell ref="C43:G43"/>
    <mergeCell ref="C44:G44"/>
    <mergeCell ref="C45:G45"/>
    <mergeCell ref="C46:G46"/>
    <mergeCell ref="C47:G47"/>
    <mergeCell ref="I35:K36"/>
    <mergeCell ref="L35:P36"/>
    <mergeCell ref="C38:G38"/>
    <mergeCell ref="A39:P39"/>
    <mergeCell ref="A40:P40"/>
    <mergeCell ref="C41:G41"/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  <mergeCell ref="C66:G66"/>
    <mergeCell ref="C67:G67"/>
    <mergeCell ref="C68:G68"/>
    <mergeCell ref="C69:G69"/>
    <mergeCell ref="C70:G70"/>
    <mergeCell ref="C71:G71"/>
    <mergeCell ref="C60:G60"/>
    <mergeCell ref="C61:G61"/>
    <mergeCell ref="C62:G62"/>
    <mergeCell ref="C63:G63"/>
    <mergeCell ref="C64:G64"/>
    <mergeCell ref="A65:P65"/>
    <mergeCell ref="A78:P78"/>
    <mergeCell ref="C79:G79"/>
    <mergeCell ref="C80:G80"/>
    <mergeCell ref="C81:G81"/>
    <mergeCell ref="C82:G82"/>
    <mergeCell ref="C83:G83"/>
    <mergeCell ref="C72:G72"/>
    <mergeCell ref="C73:G73"/>
    <mergeCell ref="C74:G74"/>
    <mergeCell ref="C75:G75"/>
    <mergeCell ref="C76:G76"/>
    <mergeCell ref="C77:G77"/>
    <mergeCell ref="C90:G90"/>
    <mergeCell ref="C91:G91"/>
    <mergeCell ref="C92:G92"/>
    <mergeCell ref="C93:G93"/>
    <mergeCell ref="C94:G94"/>
    <mergeCell ref="C95:G95"/>
    <mergeCell ref="C84:G84"/>
    <mergeCell ref="C85:G85"/>
    <mergeCell ref="C86:G86"/>
    <mergeCell ref="C87:G87"/>
    <mergeCell ref="C88:G88"/>
    <mergeCell ref="C89:G89"/>
    <mergeCell ref="C102:G102"/>
    <mergeCell ref="C103:G103"/>
    <mergeCell ref="C104:G104"/>
    <mergeCell ref="C105:G105"/>
    <mergeCell ref="C106:G106"/>
    <mergeCell ref="C107:G107"/>
    <mergeCell ref="C96:G96"/>
    <mergeCell ref="C97:G97"/>
    <mergeCell ref="C98:G98"/>
    <mergeCell ref="C99:G99"/>
    <mergeCell ref="C100:G100"/>
    <mergeCell ref="C101:G101"/>
    <mergeCell ref="C114:G114"/>
    <mergeCell ref="C115:G115"/>
    <mergeCell ref="C116:G116"/>
    <mergeCell ref="C117:G117"/>
    <mergeCell ref="C118:G118"/>
    <mergeCell ref="C119:G119"/>
    <mergeCell ref="C108:G108"/>
    <mergeCell ref="C109:G109"/>
    <mergeCell ref="C110:G110"/>
    <mergeCell ref="C111:G111"/>
    <mergeCell ref="C112:G112"/>
    <mergeCell ref="C113:G113"/>
    <mergeCell ref="C126:G126"/>
    <mergeCell ref="C127:G127"/>
    <mergeCell ref="C128:G128"/>
    <mergeCell ref="C129:G129"/>
    <mergeCell ref="C130:G130"/>
    <mergeCell ref="C131:G131"/>
    <mergeCell ref="C120:G120"/>
    <mergeCell ref="C121:G121"/>
    <mergeCell ref="C122:G122"/>
    <mergeCell ref="C123:G123"/>
    <mergeCell ref="C124:G124"/>
    <mergeCell ref="C125:G125"/>
    <mergeCell ref="C138:G138"/>
    <mergeCell ref="C139:G139"/>
    <mergeCell ref="C140:G140"/>
    <mergeCell ref="C141:G141"/>
    <mergeCell ref="C142:G142"/>
    <mergeCell ref="C143:G143"/>
    <mergeCell ref="C132:G132"/>
    <mergeCell ref="C133:G133"/>
    <mergeCell ref="C134:G134"/>
    <mergeCell ref="C135:G135"/>
    <mergeCell ref="C136:G136"/>
    <mergeCell ref="C137:G137"/>
    <mergeCell ref="C151:O151"/>
    <mergeCell ref="C152:O152"/>
    <mergeCell ref="C153:O153"/>
    <mergeCell ref="C154:J154"/>
    <mergeCell ref="L154:O154"/>
    <mergeCell ref="C155:J155"/>
    <mergeCell ref="L155:O155"/>
    <mergeCell ref="C144:G144"/>
    <mergeCell ref="C146:O146"/>
    <mergeCell ref="C147:O147"/>
    <mergeCell ref="C148:O148"/>
    <mergeCell ref="C149:O149"/>
    <mergeCell ref="C150:O150"/>
    <mergeCell ref="A163:P163"/>
    <mergeCell ref="A164:P164"/>
    <mergeCell ref="A165:P165"/>
    <mergeCell ref="C158:H158"/>
    <mergeCell ref="I158:N158"/>
    <mergeCell ref="C159:N159"/>
    <mergeCell ref="C160:H160"/>
    <mergeCell ref="I160:N160"/>
    <mergeCell ref="C161:N161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9" fitToHeight="0" orientation="landscape" r:id="rId1"/>
  <headerFooter>
    <oddFooter>&amp;RСтраница &amp;P</oddFooter>
  </headerFooter>
  <rowBreaks count="1" manualBreakCount="1">
    <brk id="34" max="20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5"/>
  <sheetViews>
    <sheetView topLeftCell="A68" workbookViewId="0">
      <selection activeCell="P75" sqref="P75:P77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" customWidth="1"/>
    <col min="17" max="17" width="75.28515625" style="2" hidden="1" customWidth="1"/>
    <col min="18" max="18" width="126.5703125" style="2" hidden="1" customWidth="1"/>
    <col min="19" max="26" width="9.140625" style="1"/>
    <col min="27" max="33" width="127.28515625" style="3" hidden="1" customWidth="1"/>
    <col min="34" max="36" width="203.42578125" style="3" hidden="1" customWidth="1"/>
    <col min="37" max="37" width="66.42578125" style="3" hidden="1" customWidth="1"/>
    <col min="38" max="38" width="45.7109375" style="3" hidden="1" customWidth="1"/>
    <col min="39" max="40" width="203.42578125" style="3" hidden="1" customWidth="1"/>
    <col min="41" max="44" width="51.85546875" style="3" hidden="1" customWidth="1"/>
    <col min="45" max="48" width="156" style="3" hidden="1" customWidth="1"/>
    <col min="49" max="49" width="84.28515625" style="3" hidden="1" customWidth="1"/>
    <col min="50" max="50" width="61.140625" style="3" hidden="1" customWidth="1"/>
    <col min="51" max="51" width="82" style="3" hidden="1" customWidth="1"/>
    <col min="52" max="52" width="61.140625" style="3" hidden="1" customWidth="1"/>
    <col min="53" max="53" width="82" style="3" hidden="1" customWidth="1"/>
    <col min="54" max="16384" width="9.140625" style="1"/>
  </cols>
  <sheetData>
    <row r="1" spans="1:35" s="4" customFormat="1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 t="s">
        <v>0</v>
      </c>
    </row>
    <row r="2" spans="1:35" s="4" customFormat="1" ht="1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6" t="s">
        <v>1</v>
      </c>
    </row>
    <row r="3" spans="1:35" s="4" customFormat="1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6"/>
    </row>
    <row r="4" spans="1:35" s="4" customFormat="1" ht="12.75" customHeight="1" x14ac:dyDescent="0.25">
      <c r="A4" s="223" t="s">
        <v>2</v>
      </c>
      <c r="B4" s="223"/>
      <c r="C4" s="223"/>
      <c r="D4" s="223"/>
      <c r="E4" s="223"/>
      <c r="F4" s="223"/>
      <c r="G4" s="250" t="s">
        <v>3</v>
      </c>
      <c r="H4" s="250"/>
      <c r="I4" s="250"/>
      <c r="J4" s="250"/>
      <c r="K4" s="250"/>
      <c r="L4" s="250"/>
      <c r="M4" s="250"/>
      <c r="N4" s="250"/>
      <c r="O4" s="250"/>
      <c r="P4" s="250"/>
    </row>
    <row r="5" spans="1:35" s="4" customFormat="1" ht="22.5" customHeight="1" x14ac:dyDescent="0.25">
      <c r="A5" s="223" t="s">
        <v>4</v>
      </c>
      <c r="B5" s="223"/>
      <c r="C5" s="223"/>
      <c r="D5" s="223"/>
      <c r="E5" s="223"/>
      <c r="F5" s="223"/>
      <c r="G5" s="248" t="s">
        <v>5</v>
      </c>
      <c r="H5" s="248"/>
      <c r="I5" s="248"/>
      <c r="J5" s="248"/>
      <c r="K5" s="248"/>
      <c r="L5" s="248"/>
      <c r="M5" s="248"/>
      <c r="N5" s="248"/>
      <c r="O5" s="248"/>
      <c r="P5" s="248"/>
      <c r="AA5" s="8" t="s">
        <v>5</v>
      </c>
    </row>
    <row r="6" spans="1:35" s="4" customFormat="1" ht="45" customHeight="1" x14ac:dyDescent="0.25">
      <c r="A6" s="223" t="s">
        <v>6</v>
      </c>
      <c r="B6" s="223"/>
      <c r="C6" s="223"/>
      <c r="D6" s="223"/>
      <c r="E6" s="223"/>
      <c r="F6" s="223"/>
      <c r="G6" s="248" t="s">
        <v>7</v>
      </c>
      <c r="H6" s="248"/>
      <c r="I6" s="248"/>
      <c r="J6" s="248"/>
      <c r="K6" s="248"/>
      <c r="L6" s="248"/>
      <c r="M6" s="248"/>
      <c r="N6" s="248"/>
      <c r="O6" s="248"/>
      <c r="P6" s="248"/>
      <c r="AB6" s="8" t="s">
        <v>7</v>
      </c>
    </row>
    <row r="7" spans="1:35" s="4" customFormat="1" ht="67.5" customHeight="1" x14ac:dyDescent="0.25">
      <c r="A7" s="249" t="s">
        <v>8</v>
      </c>
      <c r="B7" s="249"/>
      <c r="C7" s="249"/>
      <c r="D7" s="249"/>
      <c r="E7" s="249"/>
      <c r="F7" s="249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9" t="s">
        <v>8</v>
      </c>
      <c r="R7" s="10"/>
      <c r="S7" s="8"/>
      <c r="T7" s="8"/>
      <c r="U7" s="8"/>
      <c r="V7" s="8"/>
      <c r="W7" s="8"/>
      <c r="X7" s="8"/>
      <c r="Y7" s="8"/>
      <c r="Z7" s="8"/>
      <c r="AC7" s="8" t="s">
        <v>9</v>
      </c>
    </row>
    <row r="8" spans="1:35" s="4" customFormat="1" ht="33.75" customHeight="1" x14ac:dyDescent="0.25">
      <c r="A8" s="223" t="s">
        <v>10</v>
      </c>
      <c r="B8" s="223"/>
      <c r="C8" s="223"/>
      <c r="D8" s="223"/>
      <c r="E8" s="223"/>
      <c r="F8" s="223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9" t="s">
        <v>10</v>
      </c>
      <c r="R8" s="10"/>
      <c r="S8" s="8"/>
      <c r="T8" s="8"/>
      <c r="U8" s="8"/>
      <c r="V8" s="8"/>
      <c r="W8" s="8"/>
      <c r="X8" s="8"/>
      <c r="Y8" s="8"/>
      <c r="Z8" s="8"/>
      <c r="AD8" s="8" t="s">
        <v>9</v>
      </c>
    </row>
    <row r="9" spans="1:35" s="4" customFormat="1" ht="11.25" customHeight="1" x14ac:dyDescent="0.25">
      <c r="A9" s="223" t="s">
        <v>11</v>
      </c>
      <c r="B9" s="223"/>
      <c r="C9" s="223"/>
      <c r="D9" s="223"/>
      <c r="E9" s="223"/>
      <c r="F9" s="223"/>
      <c r="G9" s="248"/>
      <c r="H9" s="248"/>
      <c r="I9" s="248"/>
      <c r="J9" s="248"/>
      <c r="K9" s="248"/>
      <c r="L9" s="248"/>
      <c r="M9" s="248"/>
      <c r="N9" s="248"/>
      <c r="O9" s="248"/>
      <c r="P9" s="248"/>
      <c r="AE9" s="8" t="s">
        <v>9</v>
      </c>
    </row>
    <row r="10" spans="1:35" s="4" customFormat="1" ht="11.25" customHeight="1" x14ac:dyDescent="0.25">
      <c r="A10" s="223" t="s">
        <v>12</v>
      </c>
      <c r="B10" s="223"/>
      <c r="C10" s="223"/>
      <c r="D10" s="223"/>
      <c r="E10" s="223"/>
      <c r="F10" s="223"/>
      <c r="G10" s="248" t="s">
        <v>13</v>
      </c>
      <c r="H10" s="248"/>
      <c r="I10" s="248"/>
      <c r="J10" s="248"/>
      <c r="K10" s="248"/>
      <c r="L10" s="248"/>
      <c r="M10" s="248"/>
      <c r="N10" s="248"/>
      <c r="O10" s="248"/>
      <c r="P10" s="248"/>
      <c r="R10" s="2" t="s">
        <v>13</v>
      </c>
      <c r="AF10" s="8" t="s">
        <v>13</v>
      </c>
    </row>
    <row r="11" spans="1:35" s="4" customFormat="1" ht="15" x14ac:dyDescent="0.25">
      <c r="A11" s="223" t="s">
        <v>14</v>
      </c>
      <c r="B11" s="223"/>
      <c r="C11" s="223"/>
      <c r="D11" s="223"/>
      <c r="E11" s="223"/>
      <c r="F11" s="223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AG11" s="8" t="s">
        <v>9</v>
      </c>
    </row>
    <row r="12" spans="1:35" s="4" customFormat="1" ht="6" customHeight="1" x14ac:dyDescent="0.25">
      <c r="A12" s="11"/>
      <c r="B12" s="7"/>
      <c r="C12" s="7"/>
      <c r="D12" s="7"/>
      <c r="E12" s="7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35" s="4" customFormat="1" ht="15" x14ac:dyDescent="0.25">
      <c r="A13" s="246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AH13" s="8" t="s">
        <v>9</v>
      </c>
    </row>
    <row r="14" spans="1:35" s="4" customFormat="1" ht="15" customHeight="1" x14ac:dyDescent="0.25">
      <c r="A14" s="231" t="s">
        <v>15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</row>
    <row r="15" spans="1:35" s="4" customFormat="1" ht="6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35" s="4" customFormat="1" ht="15" x14ac:dyDescent="0.25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AI16" s="8" t="s">
        <v>9</v>
      </c>
    </row>
    <row r="17" spans="1:38" s="4" customFormat="1" ht="15" x14ac:dyDescent="0.25">
      <c r="A17" s="231" t="s">
        <v>16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</row>
    <row r="18" spans="1:38" s="4" customFormat="1" ht="17.25" customHeight="1" x14ac:dyDescent="0.25">
      <c r="A18" s="247" t="s">
        <v>17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38" s="4" customFormat="1" ht="8.2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38" s="4" customFormat="1" ht="15" x14ac:dyDescent="0.25">
      <c r="A20" s="246" t="s">
        <v>203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AJ20" s="8" t="s">
        <v>203</v>
      </c>
    </row>
    <row r="21" spans="1:38" s="4" customFormat="1" ht="11.25" customHeight="1" x14ac:dyDescent="0.25">
      <c r="A21" s="231" t="s">
        <v>19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</row>
    <row r="22" spans="1:38" s="4" customFormat="1" ht="12" customHeight="1" x14ac:dyDescent="0.25">
      <c r="A22" s="7" t="s">
        <v>20</v>
      </c>
      <c r="B22" s="16" t="s">
        <v>21</v>
      </c>
      <c r="C22" s="5" t="s">
        <v>22</v>
      </c>
      <c r="D22" s="5"/>
      <c r="E22" s="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38" s="4" customFormat="1" ht="15" x14ac:dyDescent="0.25">
      <c r="A23" s="7" t="s">
        <v>23</v>
      </c>
      <c r="B23" s="232"/>
      <c r="C23" s="232"/>
      <c r="D23" s="232"/>
      <c r="E23" s="232"/>
      <c r="F23" s="232"/>
      <c r="G23" s="17"/>
      <c r="H23" s="17"/>
      <c r="I23" s="17"/>
      <c r="J23" s="17"/>
      <c r="K23" s="17"/>
      <c r="L23" s="17"/>
      <c r="M23" s="17"/>
      <c r="N23" s="17"/>
      <c r="O23" s="17"/>
      <c r="P23" s="17"/>
      <c r="AK23" s="8" t="s">
        <v>9</v>
      </c>
    </row>
    <row r="24" spans="1:38" s="4" customFormat="1" ht="10.5" customHeight="1" x14ac:dyDescent="0.25">
      <c r="A24" s="7"/>
      <c r="B24" s="233" t="s">
        <v>24</v>
      </c>
      <c r="C24" s="233"/>
      <c r="D24" s="233"/>
      <c r="E24" s="233"/>
      <c r="F24" s="233"/>
      <c r="G24" s="18"/>
      <c r="H24" s="18"/>
      <c r="I24" s="18"/>
      <c r="J24" s="18"/>
      <c r="K24" s="18"/>
      <c r="L24" s="18"/>
      <c r="M24" s="18"/>
      <c r="N24" s="18"/>
      <c r="O24" s="19"/>
      <c r="P24" s="18"/>
    </row>
    <row r="25" spans="1:38" s="4" customFormat="1" ht="9.75" customHeight="1" x14ac:dyDescent="0.25">
      <c r="A25" s="7"/>
      <c r="B25" s="7"/>
      <c r="C25" s="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8"/>
      <c r="P25" s="18"/>
    </row>
    <row r="26" spans="1:38" s="4" customFormat="1" ht="15" x14ac:dyDescent="0.25">
      <c r="A26" s="21" t="s">
        <v>25</v>
      </c>
      <c r="B26" s="22"/>
      <c r="C26" s="234"/>
      <c r="D26" s="234"/>
      <c r="E26" s="234"/>
      <c r="F26" s="234"/>
      <c r="G26" s="8"/>
      <c r="H26" s="8"/>
      <c r="I26" s="8"/>
      <c r="J26" s="8"/>
      <c r="K26" s="8"/>
      <c r="L26" s="8"/>
      <c r="M26" s="8"/>
      <c r="N26" s="8"/>
      <c r="O26" s="8"/>
      <c r="P26" s="8"/>
      <c r="AL26" s="8" t="s">
        <v>9</v>
      </c>
    </row>
    <row r="27" spans="1:38" s="4" customFormat="1" ht="9.75" customHeight="1" x14ac:dyDescent="0.25">
      <c r="A27" s="7"/>
      <c r="B27" s="22"/>
      <c r="C27" s="23"/>
      <c r="D27" s="24"/>
      <c r="E27" s="24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38" s="4" customFormat="1" ht="12" customHeight="1" x14ac:dyDescent="0.25">
      <c r="A28" s="21" t="s">
        <v>26</v>
      </c>
      <c r="B28" s="22"/>
      <c r="C28" s="26"/>
      <c r="D28" s="27">
        <v>1774.92</v>
      </c>
      <c r="E28" s="28" t="s">
        <v>27</v>
      </c>
      <c r="G28" s="22"/>
      <c r="H28" s="22"/>
      <c r="I28" s="22"/>
      <c r="J28" s="22"/>
      <c r="K28" s="22"/>
      <c r="L28" s="22"/>
      <c r="M28" s="22"/>
      <c r="N28" s="29"/>
      <c r="O28" s="29"/>
      <c r="P28" s="22"/>
    </row>
    <row r="29" spans="1:38" s="4" customFormat="1" ht="12" customHeight="1" x14ac:dyDescent="0.25">
      <c r="A29" s="7"/>
      <c r="B29" s="30" t="s">
        <v>28</v>
      </c>
      <c r="C29" s="31"/>
      <c r="D29" s="32"/>
      <c r="E29" s="28"/>
      <c r="G29" s="22"/>
    </row>
    <row r="30" spans="1:38" s="4" customFormat="1" ht="12" customHeight="1" x14ac:dyDescent="0.25">
      <c r="A30" s="7"/>
      <c r="B30" s="33" t="s">
        <v>29</v>
      </c>
      <c r="C30" s="26"/>
      <c r="D30" s="27">
        <v>1774.92</v>
      </c>
      <c r="E30" s="28" t="s">
        <v>27</v>
      </c>
      <c r="I30" s="22"/>
      <c r="K30" s="22" t="s">
        <v>30</v>
      </c>
      <c r="L30" s="22"/>
      <c r="M30" s="22"/>
      <c r="N30" s="34"/>
      <c r="O30" s="27">
        <v>193.3</v>
      </c>
      <c r="P30" s="28" t="s">
        <v>27</v>
      </c>
    </row>
    <row r="31" spans="1:38" s="4" customFormat="1" ht="12" customHeight="1" x14ac:dyDescent="0.25">
      <c r="A31" s="7"/>
      <c r="B31" s="33" t="s">
        <v>31</v>
      </c>
      <c r="C31" s="35"/>
      <c r="D31" s="36">
        <v>0</v>
      </c>
      <c r="E31" s="28" t="s">
        <v>27</v>
      </c>
      <c r="I31" s="22"/>
      <c r="K31" s="22" t="s">
        <v>32</v>
      </c>
      <c r="L31" s="22"/>
      <c r="M31" s="22"/>
      <c r="N31" s="34"/>
      <c r="O31" s="27">
        <v>0</v>
      </c>
      <c r="P31" s="28" t="s">
        <v>27</v>
      </c>
    </row>
    <row r="32" spans="1:38" s="4" customFormat="1" ht="12" customHeight="1" x14ac:dyDescent="0.25">
      <c r="A32" s="7"/>
      <c r="B32" s="33" t="s">
        <v>33</v>
      </c>
      <c r="C32" s="35"/>
      <c r="D32" s="36">
        <v>0</v>
      </c>
      <c r="E32" s="28" t="s">
        <v>27</v>
      </c>
      <c r="I32" s="22"/>
      <c r="K32" s="22" t="s">
        <v>34</v>
      </c>
      <c r="L32" s="22"/>
      <c r="M32" s="22"/>
      <c r="N32" s="37"/>
      <c r="O32" s="36">
        <v>492.23</v>
      </c>
      <c r="P32" s="38" t="s">
        <v>35</v>
      </c>
    </row>
    <row r="33" spans="1:53" s="4" customFormat="1" ht="12" customHeight="1" x14ac:dyDescent="0.25">
      <c r="A33" s="7"/>
      <c r="B33" s="33" t="s">
        <v>36</v>
      </c>
      <c r="C33" s="35"/>
      <c r="D33" s="27">
        <v>0</v>
      </c>
      <c r="E33" s="28" t="s">
        <v>27</v>
      </c>
      <c r="I33" s="22"/>
      <c r="K33" s="22" t="s">
        <v>37</v>
      </c>
      <c r="L33" s="22"/>
      <c r="M33" s="22"/>
      <c r="N33" s="37"/>
      <c r="O33" s="36">
        <v>77.89</v>
      </c>
      <c r="P33" s="38" t="s">
        <v>35</v>
      </c>
    </row>
    <row r="34" spans="1:53" s="4" customFormat="1" ht="15" x14ac:dyDescent="0.25">
      <c r="A34" s="7"/>
      <c r="B34" s="22"/>
      <c r="D34" s="39"/>
      <c r="E34" s="28"/>
      <c r="H34" s="22"/>
      <c r="I34" s="22"/>
      <c r="J34" s="22"/>
      <c r="K34" s="22"/>
      <c r="L34" s="22"/>
      <c r="M34" s="22"/>
      <c r="N34" s="119" t="s">
        <v>243</v>
      </c>
      <c r="O34" s="100">
        <v>100</v>
      </c>
      <c r="P34" s="111" t="s">
        <v>244</v>
      </c>
    </row>
    <row r="35" spans="1:53" s="4" customFormat="1" ht="11.25" customHeight="1" x14ac:dyDescent="0.25">
      <c r="A35" s="235" t="s">
        <v>38</v>
      </c>
      <c r="B35" s="236" t="s">
        <v>39</v>
      </c>
      <c r="C35" s="237" t="s">
        <v>40</v>
      </c>
      <c r="D35" s="238"/>
      <c r="E35" s="238"/>
      <c r="F35" s="238"/>
      <c r="G35" s="239"/>
      <c r="H35" s="236" t="s">
        <v>41</v>
      </c>
      <c r="I35" s="236" t="s">
        <v>42</v>
      </c>
      <c r="J35" s="236"/>
      <c r="K35" s="236"/>
      <c r="L35" s="237" t="s">
        <v>43</v>
      </c>
      <c r="M35" s="238"/>
      <c r="N35" s="238"/>
      <c r="O35" s="238"/>
      <c r="P35" s="239"/>
    </row>
    <row r="36" spans="1:53" s="4" customFormat="1" ht="11.25" customHeight="1" x14ac:dyDescent="0.25">
      <c r="A36" s="235"/>
      <c r="B36" s="236"/>
      <c r="C36" s="240"/>
      <c r="D36" s="241"/>
      <c r="E36" s="241"/>
      <c r="F36" s="241"/>
      <c r="G36" s="242"/>
      <c r="H36" s="236"/>
      <c r="I36" s="236"/>
      <c r="J36" s="236"/>
      <c r="K36" s="236"/>
      <c r="L36" s="243"/>
      <c r="M36" s="244"/>
      <c r="N36" s="244"/>
      <c r="O36" s="244"/>
      <c r="P36" s="245"/>
    </row>
    <row r="37" spans="1:53" s="4" customFormat="1" ht="54" customHeight="1" x14ac:dyDescent="0.25">
      <c r="A37" s="235"/>
      <c r="B37" s="236"/>
      <c r="C37" s="243"/>
      <c r="D37" s="244"/>
      <c r="E37" s="244"/>
      <c r="F37" s="244"/>
      <c r="G37" s="245"/>
      <c r="H37" s="236"/>
      <c r="I37" s="40" t="s">
        <v>44</v>
      </c>
      <c r="J37" s="40" t="s">
        <v>45</v>
      </c>
      <c r="K37" s="40" t="s">
        <v>46</v>
      </c>
      <c r="L37" s="40" t="s">
        <v>47</v>
      </c>
      <c r="M37" s="40" t="s">
        <v>48</v>
      </c>
      <c r="N37" s="40" t="s">
        <v>49</v>
      </c>
      <c r="O37" s="40" t="s">
        <v>45</v>
      </c>
      <c r="P37" s="40" t="s">
        <v>50</v>
      </c>
    </row>
    <row r="38" spans="1:53" s="4" customFormat="1" ht="13.5" customHeight="1" x14ac:dyDescent="0.25">
      <c r="A38" s="41">
        <v>1</v>
      </c>
      <c r="B38" s="42">
        <v>2</v>
      </c>
      <c r="C38" s="228">
        <v>3</v>
      </c>
      <c r="D38" s="229"/>
      <c r="E38" s="229"/>
      <c r="F38" s="229"/>
      <c r="G38" s="230"/>
      <c r="H38" s="42">
        <v>4</v>
      </c>
      <c r="I38" s="42">
        <v>5</v>
      </c>
      <c r="J38" s="42">
        <v>6</v>
      </c>
      <c r="K38" s="42">
        <v>7</v>
      </c>
      <c r="L38" s="42">
        <v>8</v>
      </c>
      <c r="M38" s="42">
        <v>9</v>
      </c>
      <c r="N38" s="42">
        <v>10</v>
      </c>
      <c r="O38" s="42">
        <v>11</v>
      </c>
      <c r="P38" s="42">
        <v>12</v>
      </c>
    </row>
    <row r="39" spans="1:53" s="22" customFormat="1" ht="15" x14ac:dyDescent="0.25">
      <c r="A39" s="225" t="s">
        <v>204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7"/>
      <c r="Q39" s="4"/>
      <c r="R39" s="4"/>
      <c r="S39" s="4"/>
      <c r="T39" s="4"/>
      <c r="U39" s="4"/>
      <c r="V39" s="4"/>
      <c r="W39" s="4"/>
      <c r="X39" s="4"/>
      <c r="Y39" s="4"/>
      <c r="Z39" s="4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3" t="s">
        <v>204</v>
      </c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</row>
    <row r="40" spans="1:53" s="22" customFormat="1" ht="15" x14ac:dyDescent="0.25">
      <c r="A40" s="225" t="s">
        <v>52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7"/>
      <c r="Q40" s="4"/>
      <c r="R40" s="4"/>
      <c r="S40" s="4"/>
      <c r="T40" s="4"/>
      <c r="U40" s="4"/>
      <c r="V40" s="4"/>
      <c r="W40" s="4"/>
      <c r="X40" s="4"/>
      <c r="Y40" s="4"/>
      <c r="Z40" s="4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3"/>
      <c r="AN40" s="43" t="s">
        <v>52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s="22" customFormat="1" ht="23.25" x14ac:dyDescent="0.25">
      <c r="A41" s="44" t="s">
        <v>53</v>
      </c>
      <c r="B41" s="45" t="s">
        <v>160</v>
      </c>
      <c r="C41" s="224" t="s">
        <v>161</v>
      </c>
      <c r="D41" s="224"/>
      <c r="E41" s="224"/>
      <c r="F41" s="224"/>
      <c r="G41" s="224"/>
      <c r="H41" s="46" t="s">
        <v>162</v>
      </c>
      <c r="I41" s="47">
        <f>0.047/100*$O$34</f>
        <v>4.7E-2</v>
      </c>
      <c r="J41" s="48">
        <v>1</v>
      </c>
      <c r="K41" s="70">
        <v>4.7E-2</v>
      </c>
      <c r="L41" s="50"/>
      <c r="M41" s="47"/>
      <c r="N41" s="50"/>
      <c r="O41" s="47"/>
      <c r="P41" s="51"/>
      <c r="Q41" s="4"/>
      <c r="R41" s="4"/>
      <c r="S41" s="4"/>
      <c r="T41" s="4"/>
      <c r="U41" s="4"/>
      <c r="V41" s="4"/>
      <c r="W41" s="4"/>
      <c r="X41" s="4"/>
      <c r="Y41" s="4"/>
      <c r="Z41" s="4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3"/>
      <c r="AN41" s="43"/>
      <c r="AO41" s="43" t="s">
        <v>161</v>
      </c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  <row r="42" spans="1:53" s="22" customFormat="1" ht="15" x14ac:dyDescent="0.25">
      <c r="A42" s="52"/>
      <c r="B42" s="53"/>
      <c r="C42" s="222" t="s">
        <v>57</v>
      </c>
      <c r="D42" s="222"/>
      <c r="E42" s="222"/>
      <c r="F42" s="222"/>
      <c r="G42" s="222"/>
      <c r="H42" s="46"/>
      <c r="I42" s="47"/>
      <c r="J42" s="47"/>
      <c r="K42" s="47"/>
      <c r="L42" s="50"/>
      <c r="M42" s="47"/>
      <c r="N42" s="54"/>
      <c r="O42" s="47"/>
      <c r="P42" s="55">
        <f>1179/100*$O$34</f>
        <v>1179</v>
      </c>
      <c r="Q42" s="56"/>
      <c r="R42" s="56"/>
      <c r="S42" s="4"/>
      <c r="T42" s="4"/>
      <c r="U42" s="4"/>
      <c r="V42" s="4"/>
      <c r="W42" s="4"/>
      <c r="X42" s="4"/>
      <c r="Y42" s="4"/>
      <c r="Z42" s="4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3"/>
      <c r="AN42" s="43"/>
      <c r="AO42" s="43"/>
      <c r="AP42" s="43" t="s">
        <v>57</v>
      </c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3" s="22" customFormat="1" ht="15" x14ac:dyDescent="0.25">
      <c r="A43" s="57"/>
      <c r="B43" s="58"/>
      <c r="C43" s="223" t="s">
        <v>58</v>
      </c>
      <c r="D43" s="223"/>
      <c r="E43" s="223"/>
      <c r="F43" s="223"/>
      <c r="G43" s="223"/>
      <c r="H43" s="59"/>
      <c r="I43" s="60"/>
      <c r="J43" s="60"/>
      <c r="K43" s="60"/>
      <c r="L43" s="61"/>
      <c r="M43" s="60"/>
      <c r="N43" s="61"/>
      <c r="O43" s="60"/>
      <c r="P43" s="66">
        <f>120/100*$O$34</f>
        <v>120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3"/>
      <c r="AN43" s="43"/>
      <c r="AO43" s="43"/>
      <c r="AP43" s="43"/>
      <c r="AQ43" s="8" t="s">
        <v>58</v>
      </c>
      <c r="AR43" s="8"/>
      <c r="AS43" s="8"/>
      <c r="AT43" s="8"/>
      <c r="AU43" s="8"/>
      <c r="AV43" s="8"/>
      <c r="AW43" s="8"/>
      <c r="AX43" s="8"/>
      <c r="AY43" s="8"/>
      <c r="AZ43" s="8"/>
      <c r="BA43" s="8"/>
    </row>
    <row r="44" spans="1:53" s="22" customFormat="1" ht="23.25" x14ac:dyDescent="0.25">
      <c r="A44" s="57"/>
      <c r="B44" s="58" t="s">
        <v>73</v>
      </c>
      <c r="C44" s="223" t="s">
        <v>74</v>
      </c>
      <c r="D44" s="223"/>
      <c r="E44" s="223"/>
      <c r="F44" s="223"/>
      <c r="G44" s="223"/>
      <c r="H44" s="59" t="s">
        <v>61</v>
      </c>
      <c r="I44" s="63">
        <v>92</v>
      </c>
      <c r="J44" s="60"/>
      <c r="K44" s="63">
        <v>92</v>
      </c>
      <c r="L44" s="61"/>
      <c r="M44" s="60"/>
      <c r="N44" s="61"/>
      <c r="O44" s="60"/>
      <c r="P44" s="95">
        <f>P43*K44%</f>
        <v>110.4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3"/>
      <c r="AN44" s="43"/>
      <c r="AO44" s="43"/>
      <c r="AP44" s="43"/>
      <c r="AQ44" s="8" t="s">
        <v>74</v>
      </c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s="22" customFormat="1" ht="23.25" x14ac:dyDescent="0.25">
      <c r="A45" s="57"/>
      <c r="B45" s="58" t="s">
        <v>75</v>
      </c>
      <c r="C45" s="223" t="s">
        <v>76</v>
      </c>
      <c r="D45" s="223"/>
      <c r="E45" s="223"/>
      <c r="F45" s="223"/>
      <c r="G45" s="223"/>
      <c r="H45" s="59" t="s">
        <v>61</v>
      </c>
      <c r="I45" s="63">
        <v>46</v>
      </c>
      <c r="J45" s="60"/>
      <c r="K45" s="63">
        <v>46</v>
      </c>
      <c r="L45" s="61"/>
      <c r="M45" s="60"/>
      <c r="N45" s="61"/>
      <c r="O45" s="60"/>
      <c r="P45" s="95">
        <f>P43*K45%</f>
        <v>55.2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3"/>
      <c r="AN45" s="43"/>
      <c r="AO45" s="43"/>
      <c r="AP45" s="43"/>
      <c r="AQ45" s="8" t="s">
        <v>76</v>
      </c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s="22" customFormat="1" ht="15" x14ac:dyDescent="0.25">
      <c r="A46" s="64"/>
      <c r="B46" s="65"/>
      <c r="C46" s="222" t="s">
        <v>64</v>
      </c>
      <c r="D46" s="222"/>
      <c r="E46" s="222"/>
      <c r="F46" s="222"/>
      <c r="G46" s="222"/>
      <c r="H46" s="46"/>
      <c r="I46" s="47"/>
      <c r="J46" s="47"/>
      <c r="K46" s="47"/>
      <c r="L46" s="50"/>
      <c r="M46" s="47"/>
      <c r="N46" s="54">
        <v>28595.74</v>
      </c>
      <c r="O46" s="47"/>
      <c r="P46" s="96">
        <f>P42+P44+P45</f>
        <v>1344.6000000000001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3"/>
      <c r="AN46" s="43"/>
      <c r="AO46" s="43"/>
      <c r="AP46" s="43"/>
      <c r="AQ46" s="8"/>
      <c r="AR46" s="43" t="s">
        <v>64</v>
      </c>
      <c r="AS46" s="8"/>
      <c r="AT46" s="8"/>
      <c r="AU46" s="8"/>
      <c r="AV46" s="8"/>
      <c r="AW46" s="8"/>
      <c r="AX46" s="8"/>
      <c r="AY46" s="8"/>
      <c r="AZ46" s="8"/>
      <c r="BA46" s="8"/>
    </row>
    <row r="47" spans="1:53" s="22" customFormat="1" ht="23.25" x14ac:dyDescent="0.25">
      <c r="A47" s="44" t="s">
        <v>65</v>
      </c>
      <c r="B47" s="45" t="s">
        <v>54</v>
      </c>
      <c r="C47" s="224" t="s">
        <v>55</v>
      </c>
      <c r="D47" s="224"/>
      <c r="E47" s="224"/>
      <c r="F47" s="224"/>
      <c r="G47" s="224"/>
      <c r="H47" s="46" t="s">
        <v>56</v>
      </c>
      <c r="I47" s="47">
        <f>0.05/100*$O$34</f>
        <v>0.05</v>
      </c>
      <c r="J47" s="48">
        <v>1</v>
      </c>
      <c r="K47" s="49">
        <v>0.05</v>
      </c>
      <c r="L47" s="50"/>
      <c r="M47" s="47"/>
      <c r="N47" s="50"/>
      <c r="O47" s="47"/>
      <c r="P47" s="51"/>
      <c r="Q47" s="4"/>
      <c r="R47" s="4"/>
      <c r="S47" s="4"/>
      <c r="T47" s="4"/>
      <c r="U47" s="4"/>
      <c r="V47" s="4"/>
      <c r="W47" s="4"/>
      <c r="X47" s="4"/>
      <c r="Y47" s="4"/>
      <c r="Z47" s="4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3"/>
      <c r="AN47" s="43"/>
      <c r="AO47" s="43" t="s">
        <v>55</v>
      </c>
      <c r="AP47" s="43"/>
      <c r="AQ47" s="8"/>
      <c r="AR47" s="43"/>
      <c r="AS47" s="8"/>
      <c r="AT47" s="8"/>
      <c r="AU47" s="8"/>
      <c r="AV47" s="8"/>
      <c r="AW47" s="8"/>
      <c r="AX47" s="8"/>
      <c r="AY47" s="8"/>
      <c r="AZ47" s="8"/>
      <c r="BA47" s="8"/>
    </row>
    <row r="48" spans="1:53" s="22" customFormat="1" ht="15" x14ac:dyDescent="0.25">
      <c r="A48" s="52"/>
      <c r="B48" s="53"/>
      <c r="C48" s="222" t="s">
        <v>57</v>
      </c>
      <c r="D48" s="222"/>
      <c r="E48" s="222"/>
      <c r="F48" s="222"/>
      <c r="G48" s="222"/>
      <c r="H48" s="46"/>
      <c r="I48" s="47"/>
      <c r="J48" s="47"/>
      <c r="K48" s="47"/>
      <c r="L48" s="50"/>
      <c r="M48" s="47"/>
      <c r="N48" s="54"/>
      <c r="O48" s="47"/>
      <c r="P48" s="55">
        <f>2135/100*$O$34</f>
        <v>2135</v>
      </c>
      <c r="Q48" s="56"/>
      <c r="R48" s="56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3"/>
      <c r="AN48" s="43"/>
      <c r="AO48" s="43"/>
      <c r="AP48" s="43" t="s">
        <v>57</v>
      </c>
      <c r="AQ48" s="8"/>
      <c r="AR48" s="43"/>
      <c r="AS48" s="8"/>
      <c r="AT48" s="8"/>
      <c r="AU48" s="8"/>
      <c r="AV48" s="8"/>
      <c r="AW48" s="8"/>
      <c r="AX48" s="8"/>
      <c r="AY48" s="8"/>
      <c r="AZ48" s="8"/>
      <c r="BA48" s="8"/>
    </row>
    <row r="49" spans="1:53" s="22" customFormat="1" ht="15" x14ac:dyDescent="0.25">
      <c r="A49" s="57"/>
      <c r="B49" s="58"/>
      <c r="C49" s="223" t="s">
        <v>58</v>
      </c>
      <c r="D49" s="223"/>
      <c r="E49" s="223"/>
      <c r="F49" s="223"/>
      <c r="G49" s="223"/>
      <c r="H49" s="59"/>
      <c r="I49" s="60"/>
      <c r="J49" s="60"/>
      <c r="K49" s="60"/>
      <c r="L49" s="61"/>
      <c r="M49" s="60"/>
      <c r="N49" s="61"/>
      <c r="O49" s="60"/>
      <c r="P49" s="62">
        <f>2135/100*$O$34</f>
        <v>2135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3"/>
      <c r="AN49" s="43"/>
      <c r="AO49" s="43"/>
      <c r="AP49" s="43"/>
      <c r="AQ49" s="8" t="s">
        <v>58</v>
      </c>
      <c r="AR49" s="43"/>
      <c r="AS49" s="8"/>
      <c r="AT49" s="8"/>
      <c r="AU49" s="8"/>
      <c r="AV49" s="8"/>
      <c r="AW49" s="8"/>
      <c r="AX49" s="8"/>
      <c r="AY49" s="8"/>
      <c r="AZ49" s="8"/>
      <c r="BA49" s="8"/>
    </row>
    <row r="50" spans="1:53" s="22" customFormat="1" ht="15" x14ac:dyDescent="0.25">
      <c r="A50" s="57"/>
      <c r="B50" s="58" t="s">
        <v>59</v>
      </c>
      <c r="C50" s="223" t="s">
        <v>60</v>
      </c>
      <c r="D50" s="223"/>
      <c r="E50" s="223"/>
      <c r="F50" s="223"/>
      <c r="G50" s="223"/>
      <c r="H50" s="59" t="s">
        <v>61</v>
      </c>
      <c r="I50" s="63">
        <v>89</v>
      </c>
      <c r="J50" s="60"/>
      <c r="K50" s="63">
        <v>89</v>
      </c>
      <c r="L50" s="61"/>
      <c r="M50" s="60"/>
      <c r="N50" s="61"/>
      <c r="O50" s="60"/>
      <c r="P50" s="95">
        <f>P49*K50%</f>
        <v>1900.15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43"/>
      <c r="AN50" s="43"/>
      <c r="AO50" s="43"/>
      <c r="AP50" s="43"/>
      <c r="AQ50" s="8" t="s">
        <v>60</v>
      </c>
      <c r="AR50" s="43"/>
      <c r="AS50" s="8"/>
      <c r="AT50" s="8"/>
      <c r="AU50" s="8"/>
      <c r="AV50" s="8"/>
      <c r="AW50" s="8"/>
      <c r="AX50" s="8"/>
      <c r="AY50" s="8"/>
      <c r="AZ50" s="8"/>
      <c r="BA50" s="8"/>
    </row>
    <row r="51" spans="1:53" s="22" customFormat="1" ht="15" x14ac:dyDescent="0.25">
      <c r="A51" s="57"/>
      <c r="B51" s="58" t="s">
        <v>62</v>
      </c>
      <c r="C51" s="223" t="s">
        <v>63</v>
      </c>
      <c r="D51" s="223"/>
      <c r="E51" s="223"/>
      <c r="F51" s="223"/>
      <c r="G51" s="223"/>
      <c r="H51" s="59" t="s">
        <v>61</v>
      </c>
      <c r="I51" s="63">
        <v>40</v>
      </c>
      <c r="J51" s="60"/>
      <c r="K51" s="63">
        <v>40</v>
      </c>
      <c r="L51" s="61"/>
      <c r="M51" s="60"/>
      <c r="N51" s="61"/>
      <c r="O51" s="60"/>
      <c r="P51" s="95">
        <f>P49*K51%</f>
        <v>854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43"/>
      <c r="AN51" s="43"/>
      <c r="AO51" s="43"/>
      <c r="AP51" s="43"/>
      <c r="AQ51" s="8" t="s">
        <v>63</v>
      </c>
      <c r="AR51" s="43"/>
      <c r="AS51" s="8"/>
      <c r="AT51" s="8"/>
      <c r="AU51" s="8"/>
      <c r="AV51" s="8"/>
      <c r="AW51" s="8"/>
      <c r="AX51" s="8"/>
      <c r="AY51" s="8"/>
      <c r="AZ51" s="8"/>
      <c r="BA51" s="8"/>
    </row>
    <row r="52" spans="1:53" s="22" customFormat="1" ht="15" x14ac:dyDescent="0.25">
      <c r="A52" s="64"/>
      <c r="B52" s="65"/>
      <c r="C52" s="222" t="s">
        <v>64</v>
      </c>
      <c r="D52" s="222"/>
      <c r="E52" s="222"/>
      <c r="F52" s="222"/>
      <c r="G52" s="222"/>
      <c r="H52" s="46"/>
      <c r="I52" s="47"/>
      <c r="J52" s="47"/>
      <c r="K52" s="47"/>
      <c r="L52" s="50"/>
      <c r="M52" s="47"/>
      <c r="N52" s="54">
        <v>97780</v>
      </c>
      <c r="O52" s="47"/>
      <c r="P52" s="96">
        <f>P48+P50+P51</f>
        <v>4889.1499999999996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43"/>
      <c r="AN52" s="43"/>
      <c r="AO52" s="43"/>
      <c r="AP52" s="43"/>
      <c r="AQ52" s="8"/>
      <c r="AR52" s="43" t="s">
        <v>64</v>
      </c>
      <c r="AS52" s="8"/>
      <c r="AT52" s="8"/>
      <c r="AU52" s="8"/>
      <c r="AV52" s="8"/>
      <c r="AW52" s="8"/>
      <c r="AX52" s="8"/>
      <c r="AY52" s="8"/>
      <c r="AZ52" s="8"/>
      <c r="BA52" s="8"/>
    </row>
    <row r="53" spans="1:53" s="22" customFormat="1" ht="23.25" x14ac:dyDescent="0.25">
      <c r="A53" s="44" t="s">
        <v>69</v>
      </c>
      <c r="B53" s="45" t="s">
        <v>66</v>
      </c>
      <c r="C53" s="224" t="s">
        <v>163</v>
      </c>
      <c r="D53" s="224"/>
      <c r="E53" s="224"/>
      <c r="F53" s="224"/>
      <c r="G53" s="224"/>
      <c r="H53" s="46" t="s">
        <v>56</v>
      </c>
      <c r="I53" s="47">
        <f>0.05/100*$O$34</f>
        <v>0.05</v>
      </c>
      <c r="J53" s="48">
        <v>1</v>
      </c>
      <c r="K53" s="49">
        <v>0.05</v>
      </c>
      <c r="L53" s="50"/>
      <c r="M53" s="47"/>
      <c r="N53" s="50"/>
      <c r="O53" s="47"/>
      <c r="P53" s="51"/>
      <c r="Q53" s="4"/>
      <c r="R53" s="4"/>
      <c r="S53" s="4"/>
      <c r="T53" s="4"/>
      <c r="U53" s="4"/>
      <c r="V53" s="4"/>
      <c r="W53" s="4"/>
      <c r="X53" s="4"/>
      <c r="Y53" s="4"/>
      <c r="Z53" s="4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43"/>
      <c r="AN53" s="43"/>
      <c r="AO53" s="43" t="s">
        <v>163</v>
      </c>
      <c r="AP53" s="43"/>
      <c r="AQ53" s="8"/>
      <c r="AR53" s="43"/>
      <c r="AS53" s="8"/>
      <c r="AT53" s="8"/>
      <c r="AU53" s="8"/>
      <c r="AV53" s="8"/>
      <c r="AW53" s="8"/>
      <c r="AX53" s="8"/>
      <c r="AY53" s="8"/>
      <c r="AZ53" s="8"/>
      <c r="BA53" s="8"/>
    </row>
    <row r="54" spans="1:53" s="22" customFormat="1" ht="15" x14ac:dyDescent="0.25">
      <c r="A54" s="52"/>
      <c r="B54" s="53"/>
      <c r="C54" s="222" t="s">
        <v>57</v>
      </c>
      <c r="D54" s="222"/>
      <c r="E54" s="222"/>
      <c r="F54" s="222"/>
      <c r="G54" s="222"/>
      <c r="H54" s="46"/>
      <c r="I54" s="47"/>
      <c r="J54" s="47"/>
      <c r="K54" s="47"/>
      <c r="L54" s="50"/>
      <c r="M54" s="47"/>
      <c r="N54" s="54"/>
      <c r="O54" s="47"/>
      <c r="P54" s="55">
        <f>1535/100*$O$34</f>
        <v>1535</v>
      </c>
      <c r="Q54" s="56"/>
      <c r="R54" s="56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43"/>
      <c r="AN54" s="43"/>
      <c r="AO54" s="43"/>
      <c r="AP54" s="43" t="s">
        <v>57</v>
      </c>
      <c r="AQ54" s="8"/>
      <c r="AR54" s="43"/>
      <c r="AS54" s="8"/>
      <c r="AT54" s="8"/>
      <c r="AU54" s="8"/>
      <c r="AV54" s="8"/>
      <c r="AW54" s="8"/>
      <c r="AX54" s="8"/>
      <c r="AY54" s="8"/>
      <c r="AZ54" s="8"/>
      <c r="BA54" s="8"/>
    </row>
    <row r="55" spans="1:53" s="22" customFormat="1" ht="15" x14ac:dyDescent="0.25">
      <c r="A55" s="57"/>
      <c r="B55" s="58"/>
      <c r="C55" s="223" t="s">
        <v>58</v>
      </c>
      <c r="D55" s="223"/>
      <c r="E55" s="223"/>
      <c r="F55" s="223"/>
      <c r="G55" s="223"/>
      <c r="H55" s="59"/>
      <c r="I55" s="60"/>
      <c r="J55" s="60"/>
      <c r="K55" s="60"/>
      <c r="L55" s="61"/>
      <c r="M55" s="60"/>
      <c r="N55" s="61"/>
      <c r="O55" s="60"/>
      <c r="P55" s="62">
        <f>1535/100*$O$34</f>
        <v>1535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43"/>
      <c r="AN55" s="43"/>
      <c r="AO55" s="43"/>
      <c r="AP55" s="43"/>
      <c r="AQ55" s="8" t="s">
        <v>58</v>
      </c>
      <c r="AR55" s="43"/>
      <c r="AS55" s="8"/>
      <c r="AT55" s="8"/>
      <c r="AU55" s="8"/>
      <c r="AV55" s="8"/>
      <c r="AW55" s="8"/>
      <c r="AX55" s="8"/>
      <c r="AY55" s="8"/>
      <c r="AZ55" s="8"/>
      <c r="BA55" s="8"/>
    </row>
    <row r="56" spans="1:53" s="22" customFormat="1" ht="15" x14ac:dyDescent="0.25">
      <c r="A56" s="57"/>
      <c r="B56" s="58" t="s">
        <v>59</v>
      </c>
      <c r="C56" s="223" t="s">
        <v>60</v>
      </c>
      <c r="D56" s="223"/>
      <c r="E56" s="223"/>
      <c r="F56" s="223"/>
      <c r="G56" s="223"/>
      <c r="H56" s="59" t="s">
        <v>61</v>
      </c>
      <c r="I56" s="63">
        <v>89</v>
      </c>
      <c r="J56" s="60"/>
      <c r="K56" s="63">
        <v>89</v>
      </c>
      <c r="L56" s="61"/>
      <c r="M56" s="60"/>
      <c r="N56" s="61"/>
      <c r="O56" s="60"/>
      <c r="P56" s="95">
        <f>P55*K56%</f>
        <v>1366.15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43"/>
      <c r="AN56" s="43"/>
      <c r="AO56" s="43"/>
      <c r="AP56" s="43"/>
      <c r="AQ56" s="8" t="s">
        <v>60</v>
      </c>
      <c r="AR56" s="43"/>
      <c r="AS56" s="8"/>
      <c r="AT56" s="8"/>
      <c r="AU56" s="8"/>
      <c r="AV56" s="8"/>
      <c r="AW56" s="8"/>
      <c r="AX56" s="8"/>
      <c r="AY56" s="8"/>
      <c r="AZ56" s="8"/>
      <c r="BA56" s="8"/>
    </row>
    <row r="57" spans="1:53" s="22" customFormat="1" ht="15" x14ac:dyDescent="0.25">
      <c r="A57" s="57"/>
      <c r="B57" s="58" t="s">
        <v>62</v>
      </c>
      <c r="C57" s="223" t="s">
        <v>63</v>
      </c>
      <c r="D57" s="223"/>
      <c r="E57" s="223"/>
      <c r="F57" s="223"/>
      <c r="G57" s="223"/>
      <c r="H57" s="59" t="s">
        <v>61</v>
      </c>
      <c r="I57" s="63">
        <v>40</v>
      </c>
      <c r="J57" s="60"/>
      <c r="K57" s="63">
        <v>40</v>
      </c>
      <c r="L57" s="61"/>
      <c r="M57" s="60"/>
      <c r="N57" s="61"/>
      <c r="O57" s="60"/>
      <c r="P57" s="95">
        <f>P55*K57%</f>
        <v>614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43"/>
      <c r="AN57" s="43"/>
      <c r="AO57" s="43"/>
      <c r="AP57" s="43"/>
      <c r="AQ57" s="8" t="s">
        <v>63</v>
      </c>
      <c r="AR57" s="43"/>
      <c r="AS57" s="8"/>
      <c r="AT57" s="8"/>
      <c r="AU57" s="8"/>
      <c r="AV57" s="8"/>
      <c r="AW57" s="8"/>
      <c r="AX57" s="8"/>
      <c r="AY57" s="8"/>
      <c r="AZ57" s="8"/>
      <c r="BA57" s="8"/>
    </row>
    <row r="58" spans="1:53" s="22" customFormat="1" ht="15" x14ac:dyDescent="0.25">
      <c r="A58" s="64"/>
      <c r="B58" s="65"/>
      <c r="C58" s="222" t="s">
        <v>64</v>
      </c>
      <c r="D58" s="222"/>
      <c r="E58" s="222"/>
      <c r="F58" s="222"/>
      <c r="G58" s="222"/>
      <c r="H58" s="46"/>
      <c r="I58" s="47"/>
      <c r="J58" s="47"/>
      <c r="K58" s="47"/>
      <c r="L58" s="50"/>
      <c r="M58" s="47"/>
      <c r="N58" s="54">
        <v>70300</v>
      </c>
      <c r="O58" s="47"/>
      <c r="P58" s="96">
        <f>P54+P56+P57</f>
        <v>3515.15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43"/>
      <c r="AN58" s="43"/>
      <c r="AO58" s="43"/>
      <c r="AP58" s="43"/>
      <c r="AQ58" s="8"/>
      <c r="AR58" s="43" t="s">
        <v>64</v>
      </c>
      <c r="AS58" s="8"/>
      <c r="AT58" s="8"/>
      <c r="AU58" s="8"/>
      <c r="AV58" s="8"/>
      <c r="AW58" s="8"/>
      <c r="AX58" s="8"/>
      <c r="AY58" s="8"/>
      <c r="AZ58" s="8"/>
      <c r="BA58" s="8"/>
    </row>
    <row r="59" spans="1:53" s="22" customFormat="1" ht="23.25" x14ac:dyDescent="0.25">
      <c r="A59" s="44" t="s">
        <v>77</v>
      </c>
      <c r="B59" s="45" t="s">
        <v>164</v>
      </c>
      <c r="C59" s="224" t="s">
        <v>165</v>
      </c>
      <c r="D59" s="224"/>
      <c r="E59" s="224"/>
      <c r="F59" s="224"/>
      <c r="G59" s="224"/>
      <c r="H59" s="46" t="s">
        <v>162</v>
      </c>
      <c r="I59" s="47">
        <f>0.047/100*$O$34</f>
        <v>4.7E-2</v>
      </c>
      <c r="J59" s="48">
        <v>1</v>
      </c>
      <c r="K59" s="70">
        <v>4.7E-2</v>
      </c>
      <c r="L59" s="50"/>
      <c r="M59" s="47"/>
      <c r="N59" s="50"/>
      <c r="O59" s="47"/>
      <c r="P59" s="51"/>
      <c r="Q59" s="4"/>
      <c r="R59" s="4"/>
      <c r="S59" s="4"/>
      <c r="T59" s="4"/>
      <c r="U59" s="4"/>
      <c r="V59" s="4"/>
      <c r="W59" s="4"/>
      <c r="X59" s="4"/>
      <c r="Y59" s="4"/>
      <c r="Z59" s="4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43"/>
      <c r="AN59" s="43"/>
      <c r="AO59" s="43" t="s">
        <v>165</v>
      </c>
      <c r="AP59" s="43"/>
      <c r="AQ59" s="8"/>
      <c r="AR59" s="43"/>
      <c r="AS59" s="8"/>
      <c r="AT59" s="8"/>
      <c r="AU59" s="8"/>
      <c r="AV59" s="8"/>
      <c r="AW59" s="8"/>
      <c r="AX59" s="8"/>
      <c r="AY59" s="8"/>
      <c r="AZ59" s="8"/>
      <c r="BA59" s="8"/>
    </row>
    <row r="60" spans="1:53" s="22" customFormat="1" ht="15" x14ac:dyDescent="0.25">
      <c r="A60" s="52"/>
      <c r="B60" s="53"/>
      <c r="C60" s="222" t="s">
        <v>57</v>
      </c>
      <c r="D60" s="222"/>
      <c r="E60" s="222"/>
      <c r="F60" s="222"/>
      <c r="G60" s="222"/>
      <c r="H60" s="46"/>
      <c r="I60" s="47"/>
      <c r="J60" s="47"/>
      <c r="K60" s="47"/>
      <c r="L60" s="50"/>
      <c r="M60" s="47"/>
      <c r="N60" s="54"/>
      <c r="O60" s="47"/>
      <c r="P60" s="55">
        <f>277/100*$O$34</f>
        <v>277</v>
      </c>
      <c r="Q60" s="56"/>
      <c r="R60" s="56"/>
      <c r="S60" s="4"/>
      <c r="T60" s="4"/>
      <c r="U60" s="4"/>
      <c r="V60" s="4"/>
      <c r="W60" s="4"/>
      <c r="X60" s="4"/>
      <c r="Y60" s="4"/>
      <c r="Z60" s="4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43"/>
      <c r="AN60" s="43"/>
      <c r="AO60" s="43"/>
      <c r="AP60" s="43" t="s">
        <v>57</v>
      </c>
      <c r="AQ60" s="8"/>
      <c r="AR60" s="43"/>
      <c r="AS60" s="8"/>
      <c r="AT60" s="8"/>
      <c r="AU60" s="8"/>
      <c r="AV60" s="8"/>
      <c r="AW60" s="8"/>
      <c r="AX60" s="8"/>
      <c r="AY60" s="8"/>
      <c r="AZ60" s="8"/>
      <c r="BA60" s="8"/>
    </row>
    <row r="61" spans="1:53" s="22" customFormat="1" ht="15" x14ac:dyDescent="0.25">
      <c r="A61" s="57"/>
      <c r="B61" s="58"/>
      <c r="C61" s="223" t="s">
        <v>58</v>
      </c>
      <c r="D61" s="223"/>
      <c r="E61" s="223"/>
      <c r="F61" s="223"/>
      <c r="G61" s="223"/>
      <c r="H61" s="59"/>
      <c r="I61" s="60"/>
      <c r="J61" s="60"/>
      <c r="K61" s="60"/>
      <c r="L61" s="61"/>
      <c r="M61" s="60"/>
      <c r="N61" s="61"/>
      <c r="O61" s="60"/>
      <c r="P61" s="92"/>
      <c r="Q61" s="4"/>
      <c r="R61" s="4"/>
      <c r="S61" s="4"/>
      <c r="T61" s="4"/>
      <c r="U61" s="4"/>
      <c r="V61" s="4"/>
      <c r="W61" s="4"/>
      <c r="X61" s="4"/>
      <c r="Y61" s="4"/>
      <c r="Z61" s="4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43"/>
      <c r="AN61" s="43"/>
      <c r="AO61" s="43"/>
      <c r="AP61" s="43"/>
      <c r="AQ61" s="8" t="s">
        <v>58</v>
      </c>
      <c r="AR61" s="43"/>
      <c r="AS61" s="8"/>
      <c r="AT61" s="8"/>
      <c r="AU61" s="8"/>
      <c r="AV61" s="8"/>
      <c r="AW61" s="8"/>
      <c r="AX61" s="8"/>
      <c r="AY61" s="8"/>
      <c r="AZ61" s="8"/>
      <c r="BA61" s="8"/>
    </row>
    <row r="62" spans="1:53" s="22" customFormat="1" ht="23.25" x14ac:dyDescent="0.25">
      <c r="A62" s="57"/>
      <c r="B62" s="58" t="s">
        <v>73</v>
      </c>
      <c r="C62" s="223" t="s">
        <v>74</v>
      </c>
      <c r="D62" s="223"/>
      <c r="E62" s="223"/>
      <c r="F62" s="223"/>
      <c r="G62" s="223"/>
      <c r="H62" s="59" t="s">
        <v>61</v>
      </c>
      <c r="I62" s="63">
        <v>92</v>
      </c>
      <c r="J62" s="60"/>
      <c r="K62" s="63">
        <v>92</v>
      </c>
      <c r="L62" s="61"/>
      <c r="M62" s="60"/>
      <c r="N62" s="61"/>
      <c r="O62" s="60"/>
      <c r="P62" s="95">
        <f>P61*K62%</f>
        <v>0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43"/>
      <c r="AN62" s="43"/>
      <c r="AO62" s="43"/>
      <c r="AP62" s="43"/>
      <c r="AQ62" s="8" t="s">
        <v>74</v>
      </c>
      <c r="AR62" s="43"/>
      <c r="AS62" s="8"/>
      <c r="AT62" s="8"/>
      <c r="AU62" s="8"/>
      <c r="AV62" s="8"/>
      <c r="AW62" s="8"/>
      <c r="AX62" s="8"/>
      <c r="AY62" s="8"/>
      <c r="AZ62" s="8"/>
      <c r="BA62" s="8"/>
    </row>
    <row r="63" spans="1:53" s="22" customFormat="1" ht="23.25" x14ac:dyDescent="0.25">
      <c r="A63" s="57"/>
      <c r="B63" s="58" t="s">
        <v>75</v>
      </c>
      <c r="C63" s="223" t="s">
        <v>76</v>
      </c>
      <c r="D63" s="223"/>
      <c r="E63" s="223"/>
      <c r="F63" s="223"/>
      <c r="G63" s="223"/>
      <c r="H63" s="59" t="s">
        <v>61</v>
      </c>
      <c r="I63" s="63">
        <v>46</v>
      </c>
      <c r="J63" s="60"/>
      <c r="K63" s="63">
        <v>46</v>
      </c>
      <c r="L63" s="61"/>
      <c r="M63" s="60"/>
      <c r="N63" s="61"/>
      <c r="O63" s="60"/>
      <c r="P63" s="95">
        <f>P61*K63%</f>
        <v>0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43"/>
      <c r="AN63" s="43"/>
      <c r="AO63" s="43"/>
      <c r="AP63" s="43"/>
      <c r="AQ63" s="8" t="s">
        <v>76</v>
      </c>
      <c r="AR63" s="43"/>
      <c r="AS63" s="8"/>
      <c r="AT63" s="8"/>
      <c r="AU63" s="8"/>
      <c r="AV63" s="8"/>
      <c r="AW63" s="8"/>
      <c r="AX63" s="8"/>
      <c r="AY63" s="8"/>
      <c r="AZ63" s="8"/>
      <c r="BA63" s="8"/>
    </row>
    <row r="64" spans="1:53" s="22" customFormat="1" ht="15" x14ac:dyDescent="0.25">
      <c r="A64" s="64"/>
      <c r="B64" s="65"/>
      <c r="C64" s="222" t="s">
        <v>64</v>
      </c>
      <c r="D64" s="222"/>
      <c r="E64" s="222"/>
      <c r="F64" s="222"/>
      <c r="G64" s="222"/>
      <c r="H64" s="46"/>
      <c r="I64" s="47"/>
      <c r="J64" s="47"/>
      <c r="K64" s="47"/>
      <c r="L64" s="50"/>
      <c r="M64" s="47"/>
      <c r="N64" s="54">
        <v>5893.62</v>
      </c>
      <c r="O64" s="47"/>
      <c r="P64" s="96">
        <f>P60+P62+P63</f>
        <v>277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43"/>
      <c r="AN64" s="43"/>
      <c r="AO64" s="43"/>
      <c r="AP64" s="43"/>
      <c r="AQ64" s="8"/>
      <c r="AR64" s="43" t="s">
        <v>64</v>
      </c>
      <c r="AS64" s="8"/>
      <c r="AT64" s="8"/>
      <c r="AU64" s="8"/>
      <c r="AV64" s="8"/>
      <c r="AW64" s="8"/>
      <c r="AX64" s="8"/>
      <c r="AY64" s="8"/>
      <c r="AZ64" s="8"/>
      <c r="BA64" s="8"/>
    </row>
    <row r="65" spans="1:53" s="22" customFormat="1" ht="15" x14ac:dyDescent="0.25">
      <c r="A65" s="225" t="s">
        <v>68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7"/>
      <c r="Q65" s="4"/>
      <c r="R65" s="4"/>
      <c r="S65" s="4"/>
      <c r="T65" s="4"/>
      <c r="U65" s="4"/>
      <c r="V65" s="4"/>
      <c r="W65" s="4"/>
      <c r="X65" s="4"/>
      <c r="Y65" s="4"/>
      <c r="Z65" s="4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43"/>
      <c r="AN65" s="43" t="s">
        <v>68</v>
      </c>
      <c r="AO65" s="43"/>
      <c r="AP65" s="43"/>
      <c r="AQ65" s="8"/>
      <c r="AR65" s="43"/>
      <c r="AS65" s="8"/>
      <c r="AT65" s="8"/>
      <c r="AU65" s="8"/>
      <c r="AV65" s="8"/>
      <c r="AW65" s="8"/>
      <c r="AX65" s="8"/>
      <c r="AY65" s="8"/>
      <c r="AZ65" s="8"/>
      <c r="BA65" s="8"/>
    </row>
    <row r="66" spans="1:53" s="22" customFormat="1" ht="23.25" x14ac:dyDescent="0.25">
      <c r="A66" s="44" t="s">
        <v>81</v>
      </c>
      <c r="B66" s="45" t="s">
        <v>70</v>
      </c>
      <c r="C66" s="224" t="s">
        <v>71</v>
      </c>
      <c r="D66" s="224"/>
      <c r="E66" s="224"/>
      <c r="F66" s="224"/>
      <c r="G66" s="224"/>
      <c r="H66" s="46" t="s">
        <v>72</v>
      </c>
      <c r="I66" s="47">
        <f>1.05/100*$O$34</f>
        <v>1.05</v>
      </c>
      <c r="J66" s="48">
        <v>1</v>
      </c>
      <c r="K66" s="49">
        <v>1.05</v>
      </c>
      <c r="L66" s="50"/>
      <c r="M66" s="47"/>
      <c r="N66" s="50"/>
      <c r="O66" s="47"/>
      <c r="P66" s="51"/>
      <c r="Q66" s="4"/>
      <c r="R66" s="4"/>
      <c r="S66" s="4"/>
      <c r="T66" s="4"/>
      <c r="U66" s="4"/>
      <c r="V66" s="4"/>
      <c r="W66" s="4"/>
      <c r="X66" s="4"/>
      <c r="Y66" s="4"/>
      <c r="Z66" s="4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43"/>
      <c r="AN66" s="43"/>
      <c r="AO66" s="43" t="s">
        <v>71</v>
      </c>
      <c r="AP66" s="43"/>
      <c r="AQ66" s="8"/>
      <c r="AR66" s="43"/>
      <c r="AS66" s="8"/>
      <c r="AT66" s="8"/>
      <c r="AU66" s="8"/>
      <c r="AV66" s="8"/>
      <c r="AW66" s="8"/>
      <c r="AX66" s="8"/>
      <c r="AY66" s="8"/>
      <c r="AZ66" s="8"/>
      <c r="BA66" s="8"/>
    </row>
    <row r="67" spans="1:53" s="22" customFormat="1" ht="15" x14ac:dyDescent="0.25">
      <c r="A67" s="52"/>
      <c r="B67" s="53"/>
      <c r="C67" s="222" t="s">
        <v>57</v>
      </c>
      <c r="D67" s="222"/>
      <c r="E67" s="222"/>
      <c r="F67" s="222"/>
      <c r="G67" s="222"/>
      <c r="H67" s="46"/>
      <c r="I67" s="47"/>
      <c r="J67" s="47"/>
      <c r="K67" s="47"/>
      <c r="L67" s="50"/>
      <c r="M67" s="47"/>
      <c r="N67" s="54"/>
      <c r="O67" s="47"/>
      <c r="P67" s="55">
        <f>19502/100*$O$34</f>
        <v>19502</v>
      </c>
      <c r="Q67" s="56"/>
      <c r="R67" s="56"/>
      <c r="S67" s="4"/>
      <c r="T67" s="4"/>
      <c r="U67" s="4"/>
      <c r="V67" s="4"/>
      <c r="W67" s="4"/>
      <c r="X67" s="4"/>
      <c r="Y67" s="4"/>
      <c r="Z67" s="4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43"/>
      <c r="AN67" s="43"/>
      <c r="AO67" s="43"/>
      <c r="AP67" s="43" t="s">
        <v>57</v>
      </c>
      <c r="AQ67" s="8"/>
      <c r="AR67" s="43"/>
      <c r="AS67" s="8"/>
      <c r="AT67" s="8"/>
      <c r="AU67" s="8"/>
      <c r="AV67" s="8"/>
      <c r="AW67" s="8"/>
      <c r="AX67" s="8"/>
      <c r="AY67" s="8"/>
      <c r="AZ67" s="8"/>
      <c r="BA67" s="8"/>
    </row>
    <row r="68" spans="1:53" s="22" customFormat="1" ht="15" x14ac:dyDescent="0.25">
      <c r="A68" s="57"/>
      <c r="B68" s="58"/>
      <c r="C68" s="223" t="s">
        <v>58</v>
      </c>
      <c r="D68" s="223"/>
      <c r="E68" s="223"/>
      <c r="F68" s="223"/>
      <c r="G68" s="223"/>
      <c r="H68" s="59"/>
      <c r="I68" s="60"/>
      <c r="J68" s="60"/>
      <c r="K68" s="60"/>
      <c r="L68" s="61"/>
      <c r="M68" s="60"/>
      <c r="N68" s="61"/>
      <c r="O68" s="60"/>
      <c r="P68" s="62">
        <f>2025/100*$O$34</f>
        <v>2025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43"/>
      <c r="AN68" s="43"/>
      <c r="AO68" s="43"/>
      <c r="AP68" s="43"/>
      <c r="AQ68" s="8" t="s">
        <v>58</v>
      </c>
      <c r="AR68" s="43"/>
      <c r="AS68" s="8"/>
      <c r="AT68" s="8"/>
      <c r="AU68" s="8"/>
      <c r="AV68" s="8"/>
      <c r="AW68" s="8"/>
      <c r="AX68" s="8"/>
      <c r="AY68" s="8"/>
      <c r="AZ68" s="8"/>
      <c r="BA68" s="8"/>
    </row>
    <row r="69" spans="1:53" s="22" customFormat="1" ht="23.25" x14ac:dyDescent="0.25">
      <c r="A69" s="57"/>
      <c r="B69" s="58" t="s">
        <v>73</v>
      </c>
      <c r="C69" s="223" t="s">
        <v>74</v>
      </c>
      <c r="D69" s="223"/>
      <c r="E69" s="223"/>
      <c r="F69" s="223"/>
      <c r="G69" s="223"/>
      <c r="H69" s="59" t="s">
        <v>61</v>
      </c>
      <c r="I69" s="63">
        <v>92</v>
      </c>
      <c r="J69" s="60"/>
      <c r="K69" s="63">
        <v>92</v>
      </c>
      <c r="L69" s="61"/>
      <c r="M69" s="60"/>
      <c r="N69" s="61"/>
      <c r="O69" s="60"/>
      <c r="P69" s="95">
        <f>P68*K69%</f>
        <v>1863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43"/>
      <c r="AN69" s="43"/>
      <c r="AO69" s="43"/>
      <c r="AP69" s="43"/>
      <c r="AQ69" s="8" t="s">
        <v>74</v>
      </c>
      <c r="AR69" s="43"/>
      <c r="AS69" s="8"/>
      <c r="AT69" s="8"/>
      <c r="AU69" s="8"/>
      <c r="AV69" s="8"/>
      <c r="AW69" s="8"/>
      <c r="AX69" s="8"/>
      <c r="AY69" s="8"/>
      <c r="AZ69" s="8"/>
      <c r="BA69" s="8"/>
    </row>
    <row r="70" spans="1:53" s="22" customFormat="1" ht="23.25" x14ac:dyDescent="0.25">
      <c r="A70" s="57"/>
      <c r="B70" s="58" t="s">
        <v>75</v>
      </c>
      <c r="C70" s="223" t="s">
        <v>76</v>
      </c>
      <c r="D70" s="223"/>
      <c r="E70" s="223"/>
      <c r="F70" s="223"/>
      <c r="G70" s="223"/>
      <c r="H70" s="59" t="s">
        <v>61</v>
      </c>
      <c r="I70" s="63">
        <v>46</v>
      </c>
      <c r="J70" s="60"/>
      <c r="K70" s="63">
        <v>46</v>
      </c>
      <c r="L70" s="61"/>
      <c r="M70" s="60"/>
      <c r="N70" s="61"/>
      <c r="O70" s="60"/>
      <c r="P70" s="95">
        <f>P68*K70%</f>
        <v>931.5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43"/>
      <c r="AN70" s="43"/>
      <c r="AO70" s="43"/>
      <c r="AP70" s="43"/>
      <c r="AQ70" s="8" t="s">
        <v>76</v>
      </c>
      <c r="AR70" s="43"/>
      <c r="AS70" s="8"/>
      <c r="AT70" s="8"/>
      <c r="AU70" s="8"/>
      <c r="AV70" s="8"/>
      <c r="AW70" s="8"/>
      <c r="AX70" s="8"/>
      <c r="AY70" s="8"/>
      <c r="AZ70" s="8"/>
      <c r="BA70" s="8"/>
    </row>
    <row r="71" spans="1:53" s="22" customFormat="1" ht="15" x14ac:dyDescent="0.25">
      <c r="A71" s="64"/>
      <c r="B71" s="65"/>
      <c r="C71" s="222" t="s">
        <v>64</v>
      </c>
      <c r="D71" s="222"/>
      <c r="E71" s="222"/>
      <c r="F71" s="222"/>
      <c r="G71" s="222"/>
      <c r="H71" s="46"/>
      <c r="I71" s="47"/>
      <c r="J71" s="47"/>
      <c r="K71" s="47"/>
      <c r="L71" s="50"/>
      <c r="M71" s="47"/>
      <c r="N71" s="54">
        <v>21235.24</v>
      </c>
      <c r="O71" s="47"/>
      <c r="P71" s="96">
        <f>P67+P69+P70</f>
        <v>22296.5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43"/>
      <c r="AN71" s="43"/>
      <c r="AO71" s="43"/>
      <c r="AP71" s="43"/>
      <c r="AQ71" s="8"/>
      <c r="AR71" s="43" t="s">
        <v>64</v>
      </c>
      <c r="AS71" s="8"/>
      <c r="AT71" s="8"/>
      <c r="AU71" s="8"/>
      <c r="AV71" s="8"/>
      <c r="AW71" s="8"/>
      <c r="AX71" s="8"/>
      <c r="AY71" s="8"/>
      <c r="AZ71" s="8"/>
      <c r="BA71" s="8"/>
    </row>
    <row r="72" spans="1:53" s="22" customFormat="1" ht="23.25" x14ac:dyDescent="0.25">
      <c r="A72" s="44" t="s">
        <v>89</v>
      </c>
      <c r="B72" s="45" t="s">
        <v>78</v>
      </c>
      <c r="C72" s="224" t="s">
        <v>166</v>
      </c>
      <c r="D72" s="224"/>
      <c r="E72" s="224"/>
      <c r="F72" s="224"/>
      <c r="G72" s="224"/>
      <c r="H72" s="46" t="s">
        <v>56</v>
      </c>
      <c r="I72" s="47">
        <f>2.8/100*$O$34</f>
        <v>2.8</v>
      </c>
      <c r="J72" s="48">
        <v>1</v>
      </c>
      <c r="K72" s="67">
        <v>2.8</v>
      </c>
      <c r="L72" s="50"/>
      <c r="M72" s="47"/>
      <c r="N72" s="50"/>
      <c r="O72" s="47"/>
      <c r="P72" s="51"/>
      <c r="Q72" s="4"/>
      <c r="R72" s="4"/>
      <c r="S72" s="4"/>
      <c r="T72" s="4"/>
      <c r="U72" s="4"/>
      <c r="V72" s="4"/>
      <c r="W72" s="4"/>
      <c r="X72" s="4"/>
      <c r="Y72" s="4"/>
      <c r="Z72" s="4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43"/>
      <c r="AN72" s="43"/>
      <c r="AO72" s="43" t="s">
        <v>166</v>
      </c>
      <c r="AP72" s="43"/>
      <c r="AQ72" s="8"/>
      <c r="AR72" s="43"/>
      <c r="AS72" s="8"/>
      <c r="AT72" s="8"/>
      <c r="AU72" s="8"/>
      <c r="AV72" s="8"/>
      <c r="AW72" s="8"/>
      <c r="AX72" s="8"/>
      <c r="AY72" s="8"/>
      <c r="AZ72" s="8"/>
      <c r="BA72" s="8"/>
    </row>
    <row r="73" spans="1:53" s="22" customFormat="1" ht="15" x14ac:dyDescent="0.25">
      <c r="A73" s="52"/>
      <c r="B73" s="53"/>
      <c r="C73" s="222" t="s">
        <v>57</v>
      </c>
      <c r="D73" s="222"/>
      <c r="E73" s="222"/>
      <c r="F73" s="222"/>
      <c r="G73" s="222"/>
      <c r="H73" s="46"/>
      <c r="I73" s="47"/>
      <c r="J73" s="47"/>
      <c r="K73" s="47"/>
      <c r="L73" s="50"/>
      <c r="M73" s="47"/>
      <c r="N73" s="54"/>
      <c r="O73" s="47"/>
      <c r="P73" s="55">
        <f>16465/100*$O$34</f>
        <v>16465</v>
      </c>
      <c r="Q73" s="56"/>
      <c r="R73" s="56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43"/>
      <c r="AN73" s="43"/>
      <c r="AO73" s="43"/>
      <c r="AP73" s="43" t="s">
        <v>57</v>
      </c>
      <c r="AQ73" s="8"/>
      <c r="AR73" s="43"/>
      <c r="AS73" s="8"/>
      <c r="AT73" s="8"/>
      <c r="AU73" s="8"/>
      <c r="AV73" s="8"/>
      <c r="AW73" s="8"/>
      <c r="AX73" s="8"/>
      <c r="AY73" s="8"/>
      <c r="AZ73" s="8"/>
      <c r="BA73" s="8"/>
    </row>
    <row r="74" spans="1:53" s="22" customFormat="1" ht="15" x14ac:dyDescent="0.25">
      <c r="A74" s="57"/>
      <c r="B74" s="58"/>
      <c r="C74" s="223" t="s">
        <v>58</v>
      </c>
      <c r="D74" s="223"/>
      <c r="E74" s="223"/>
      <c r="F74" s="223"/>
      <c r="G74" s="223"/>
      <c r="H74" s="59"/>
      <c r="I74" s="60"/>
      <c r="J74" s="60"/>
      <c r="K74" s="60"/>
      <c r="L74" s="61"/>
      <c r="M74" s="60"/>
      <c r="N74" s="61"/>
      <c r="O74" s="60"/>
      <c r="P74" s="62">
        <f>13862/100*$O$34</f>
        <v>13862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43"/>
      <c r="AN74" s="43"/>
      <c r="AO74" s="43"/>
      <c r="AP74" s="43"/>
      <c r="AQ74" s="8" t="s">
        <v>58</v>
      </c>
      <c r="AR74" s="43"/>
      <c r="AS74" s="8"/>
      <c r="AT74" s="8"/>
      <c r="AU74" s="8"/>
      <c r="AV74" s="8"/>
      <c r="AW74" s="8"/>
      <c r="AX74" s="8"/>
      <c r="AY74" s="8"/>
      <c r="AZ74" s="8"/>
      <c r="BA74" s="8"/>
    </row>
    <row r="75" spans="1:53" s="22" customFormat="1" ht="23.25" x14ac:dyDescent="0.25">
      <c r="A75" s="57"/>
      <c r="B75" s="58" t="s">
        <v>73</v>
      </c>
      <c r="C75" s="223" t="s">
        <v>74</v>
      </c>
      <c r="D75" s="223"/>
      <c r="E75" s="223"/>
      <c r="F75" s="223"/>
      <c r="G75" s="223"/>
      <c r="H75" s="59" t="s">
        <v>61</v>
      </c>
      <c r="I75" s="63">
        <v>92</v>
      </c>
      <c r="J75" s="60"/>
      <c r="K75" s="63">
        <v>92</v>
      </c>
      <c r="L75" s="61"/>
      <c r="M75" s="60"/>
      <c r="N75" s="61"/>
      <c r="O75" s="60"/>
      <c r="P75" s="95">
        <f>P74*K75%</f>
        <v>12753.04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43"/>
      <c r="AN75" s="43"/>
      <c r="AO75" s="43"/>
      <c r="AP75" s="43"/>
      <c r="AQ75" s="8" t="s">
        <v>74</v>
      </c>
      <c r="AR75" s="43"/>
      <c r="AS75" s="8"/>
      <c r="AT75" s="8"/>
      <c r="AU75" s="8"/>
      <c r="AV75" s="8"/>
      <c r="AW75" s="8"/>
      <c r="AX75" s="8"/>
      <c r="AY75" s="8"/>
      <c r="AZ75" s="8"/>
      <c r="BA75" s="8"/>
    </row>
    <row r="76" spans="1:53" s="22" customFormat="1" ht="23.25" x14ac:dyDescent="0.25">
      <c r="A76" s="57"/>
      <c r="B76" s="58" t="s">
        <v>75</v>
      </c>
      <c r="C76" s="223" t="s">
        <v>76</v>
      </c>
      <c r="D76" s="223"/>
      <c r="E76" s="223"/>
      <c r="F76" s="223"/>
      <c r="G76" s="223"/>
      <c r="H76" s="59" t="s">
        <v>61</v>
      </c>
      <c r="I76" s="63">
        <v>46</v>
      </c>
      <c r="J76" s="60"/>
      <c r="K76" s="63">
        <v>46</v>
      </c>
      <c r="L76" s="61"/>
      <c r="M76" s="60"/>
      <c r="N76" s="61"/>
      <c r="O76" s="60"/>
      <c r="P76" s="95">
        <f>P74*K76%</f>
        <v>6376.52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43"/>
      <c r="AN76" s="43"/>
      <c r="AO76" s="43"/>
      <c r="AP76" s="43"/>
      <c r="AQ76" s="8" t="s">
        <v>76</v>
      </c>
      <c r="AR76" s="43"/>
      <c r="AS76" s="8"/>
      <c r="AT76" s="8"/>
      <c r="AU76" s="8"/>
      <c r="AV76" s="8"/>
      <c r="AW76" s="8"/>
      <c r="AX76" s="8"/>
      <c r="AY76" s="8"/>
      <c r="AZ76" s="8"/>
      <c r="BA76" s="8"/>
    </row>
    <row r="77" spans="1:53" s="22" customFormat="1" ht="15" x14ac:dyDescent="0.25">
      <c r="A77" s="64"/>
      <c r="B77" s="65"/>
      <c r="C77" s="222" t="s">
        <v>64</v>
      </c>
      <c r="D77" s="222"/>
      <c r="E77" s="222"/>
      <c r="F77" s="222"/>
      <c r="G77" s="222"/>
      <c r="H77" s="46"/>
      <c r="I77" s="47"/>
      <c r="J77" s="47"/>
      <c r="K77" s="47"/>
      <c r="L77" s="50"/>
      <c r="M77" s="47"/>
      <c r="N77" s="54">
        <v>12712.5</v>
      </c>
      <c r="O77" s="47"/>
      <c r="P77" s="96">
        <f>P73+P75+P76</f>
        <v>35594.559999999998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43"/>
      <c r="AN77" s="43"/>
      <c r="AO77" s="43"/>
      <c r="AP77" s="43"/>
      <c r="AQ77" s="8"/>
      <c r="AR77" s="43" t="s">
        <v>64</v>
      </c>
      <c r="AS77" s="8"/>
      <c r="AT77" s="8"/>
      <c r="AU77" s="8"/>
      <c r="AV77" s="8"/>
      <c r="AW77" s="8"/>
      <c r="AX77" s="8"/>
      <c r="AY77" s="8"/>
      <c r="AZ77" s="8"/>
      <c r="BA77" s="8"/>
    </row>
    <row r="78" spans="1:53" s="22" customFormat="1" ht="15" x14ac:dyDescent="0.25">
      <c r="A78" s="225" t="s">
        <v>80</v>
      </c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7"/>
      <c r="Q78" s="4"/>
      <c r="R78" s="4"/>
      <c r="S78" s="4"/>
      <c r="T78" s="4"/>
      <c r="U78" s="4"/>
      <c r="V78" s="4"/>
      <c r="W78" s="4"/>
      <c r="X78" s="4"/>
      <c r="Y78" s="4"/>
      <c r="Z78" s="4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43"/>
      <c r="AN78" s="43" t="s">
        <v>80</v>
      </c>
      <c r="AO78" s="43"/>
      <c r="AP78" s="43"/>
      <c r="AQ78" s="8"/>
      <c r="AR78" s="43"/>
      <c r="AS78" s="8"/>
      <c r="AT78" s="8"/>
      <c r="AU78" s="8"/>
      <c r="AV78" s="8"/>
      <c r="AW78" s="8"/>
      <c r="AX78" s="8"/>
      <c r="AY78" s="8"/>
      <c r="AZ78" s="8"/>
      <c r="BA78" s="8"/>
    </row>
    <row r="79" spans="1:53" s="22" customFormat="1" ht="34.5" x14ac:dyDescent="0.25">
      <c r="A79" s="44" t="s">
        <v>93</v>
      </c>
      <c r="B79" s="45" t="s">
        <v>82</v>
      </c>
      <c r="C79" s="224" t="s">
        <v>83</v>
      </c>
      <c r="D79" s="224"/>
      <c r="E79" s="224"/>
      <c r="F79" s="224"/>
      <c r="G79" s="224"/>
      <c r="H79" s="46" t="s">
        <v>84</v>
      </c>
      <c r="I79" s="47">
        <f>3.5/100*$O$34</f>
        <v>3.5000000000000004</v>
      </c>
      <c r="J79" s="48">
        <v>1</v>
      </c>
      <c r="K79" s="67">
        <v>3.5</v>
      </c>
      <c r="L79" s="50"/>
      <c r="M79" s="47"/>
      <c r="N79" s="50"/>
      <c r="O79" s="47"/>
      <c r="P79" s="51"/>
      <c r="Q79" s="4"/>
      <c r="R79" s="4"/>
      <c r="S79" s="4"/>
      <c r="T79" s="4"/>
      <c r="U79" s="4"/>
      <c r="V79" s="4"/>
      <c r="W79" s="4"/>
      <c r="X79" s="4"/>
      <c r="Y79" s="4"/>
      <c r="Z79" s="4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43"/>
      <c r="AN79" s="43"/>
      <c r="AO79" s="43" t="s">
        <v>83</v>
      </c>
      <c r="AP79" s="43"/>
      <c r="AQ79" s="8"/>
      <c r="AR79" s="43"/>
      <c r="AS79" s="8"/>
      <c r="AT79" s="8"/>
      <c r="AU79" s="8"/>
      <c r="AV79" s="8"/>
      <c r="AW79" s="8"/>
      <c r="AX79" s="8"/>
      <c r="AY79" s="8"/>
      <c r="AZ79" s="8"/>
      <c r="BA79" s="8"/>
    </row>
    <row r="80" spans="1:53" s="22" customFormat="1" ht="15" x14ac:dyDescent="0.25">
      <c r="A80" s="52"/>
      <c r="B80" s="53"/>
      <c r="C80" s="222" t="s">
        <v>57</v>
      </c>
      <c r="D80" s="222"/>
      <c r="E80" s="222"/>
      <c r="F80" s="222"/>
      <c r="G80" s="222"/>
      <c r="H80" s="46"/>
      <c r="I80" s="47"/>
      <c r="J80" s="47"/>
      <c r="K80" s="47"/>
      <c r="L80" s="50"/>
      <c r="M80" s="47"/>
      <c r="N80" s="54"/>
      <c r="O80" s="47"/>
      <c r="P80" s="55">
        <f>42926/100*$O$34</f>
        <v>42926</v>
      </c>
      <c r="Q80" s="56"/>
      <c r="R80" s="56"/>
      <c r="S80" s="4"/>
      <c r="T80" s="4"/>
      <c r="U80" s="4"/>
      <c r="V80" s="4"/>
      <c r="W80" s="4"/>
      <c r="X80" s="4"/>
      <c r="Y80" s="4"/>
      <c r="Z80" s="4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43"/>
      <c r="AN80" s="43"/>
      <c r="AO80" s="43"/>
      <c r="AP80" s="43" t="s">
        <v>57</v>
      </c>
      <c r="AQ80" s="8"/>
      <c r="AR80" s="43"/>
      <c r="AS80" s="8"/>
      <c r="AT80" s="8"/>
      <c r="AU80" s="8"/>
      <c r="AV80" s="8"/>
      <c r="AW80" s="8"/>
      <c r="AX80" s="8"/>
      <c r="AY80" s="8"/>
      <c r="AZ80" s="8"/>
      <c r="BA80" s="8"/>
    </row>
    <row r="81" spans="1:53" s="22" customFormat="1" ht="15" x14ac:dyDescent="0.25">
      <c r="A81" s="57"/>
      <c r="B81" s="58"/>
      <c r="C81" s="223" t="s">
        <v>58</v>
      </c>
      <c r="D81" s="223"/>
      <c r="E81" s="223"/>
      <c r="F81" s="223"/>
      <c r="G81" s="223"/>
      <c r="H81" s="59"/>
      <c r="I81" s="60"/>
      <c r="J81" s="60"/>
      <c r="K81" s="60"/>
      <c r="L81" s="61"/>
      <c r="M81" s="60"/>
      <c r="N81" s="61"/>
      <c r="O81" s="60"/>
      <c r="P81" s="62">
        <f>42824/100*$O$34</f>
        <v>42824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43"/>
      <c r="AN81" s="43"/>
      <c r="AO81" s="43"/>
      <c r="AP81" s="43"/>
      <c r="AQ81" s="8" t="s">
        <v>58</v>
      </c>
      <c r="AR81" s="43"/>
      <c r="AS81" s="8"/>
      <c r="AT81" s="8"/>
      <c r="AU81" s="8"/>
      <c r="AV81" s="8"/>
      <c r="AW81" s="8"/>
      <c r="AX81" s="8"/>
      <c r="AY81" s="8"/>
      <c r="AZ81" s="8"/>
      <c r="BA81" s="8"/>
    </row>
    <row r="82" spans="1:53" s="22" customFormat="1" ht="23.25" x14ac:dyDescent="0.25">
      <c r="A82" s="57"/>
      <c r="B82" s="58" t="s">
        <v>85</v>
      </c>
      <c r="C82" s="223" t="s">
        <v>86</v>
      </c>
      <c r="D82" s="223"/>
      <c r="E82" s="223"/>
      <c r="F82" s="223"/>
      <c r="G82" s="223"/>
      <c r="H82" s="59" t="s">
        <v>61</v>
      </c>
      <c r="I82" s="63">
        <v>89</v>
      </c>
      <c r="J82" s="60"/>
      <c r="K82" s="63">
        <v>89</v>
      </c>
      <c r="L82" s="61"/>
      <c r="M82" s="60"/>
      <c r="N82" s="61"/>
      <c r="O82" s="60"/>
      <c r="P82" s="95">
        <f>P81*K82%</f>
        <v>38113.360000000001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43"/>
      <c r="AN82" s="43"/>
      <c r="AO82" s="43"/>
      <c r="AP82" s="43"/>
      <c r="AQ82" s="8" t="s">
        <v>86</v>
      </c>
      <c r="AR82" s="43"/>
      <c r="AS82" s="8"/>
      <c r="AT82" s="8"/>
      <c r="AU82" s="8"/>
      <c r="AV82" s="8"/>
      <c r="AW82" s="8"/>
      <c r="AX82" s="8"/>
      <c r="AY82" s="8"/>
      <c r="AZ82" s="8"/>
      <c r="BA82" s="8"/>
    </row>
    <row r="83" spans="1:53" s="22" customFormat="1" ht="23.25" x14ac:dyDescent="0.25">
      <c r="A83" s="57"/>
      <c r="B83" s="58" t="s">
        <v>87</v>
      </c>
      <c r="C83" s="223" t="s">
        <v>88</v>
      </c>
      <c r="D83" s="223"/>
      <c r="E83" s="223"/>
      <c r="F83" s="223"/>
      <c r="G83" s="223"/>
      <c r="H83" s="59" t="s">
        <v>61</v>
      </c>
      <c r="I83" s="63">
        <v>41</v>
      </c>
      <c r="J83" s="60"/>
      <c r="K83" s="63">
        <v>41</v>
      </c>
      <c r="L83" s="61"/>
      <c r="M83" s="60"/>
      <c r="N83" s="61"/>
      <c r="O83" s="60"/>
      <c r="P83" s="95">
        <f>P81*K83%</f>
        <v>17557.84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43"/>
      <c r="AN83" s="43"/>
      <c r="AO83" s="43"/>
      <c r="AP83" s="43"/>
      <c r="AQ83" s="8" t="s">
        <v>88</v>
      </c>
      <c r="AR83" s="43"/>
      <c r="AS83" s="8"/>
      <c r="AT83" s="8"/>
      <c r="AU83" s="8"/>
      <c r="AV83" s="8"/>
      <c r="AW83" s="8"/>
      <c r="AX83" s="8"/>
      <c r="AY83" s="8"/>
      <c r="AZ83" s="8"/>
      <c r="BA83" s="8"/>
    </row>
    <row r="84" spans="1:53" s="22" customFormat="1" ht="15" x14ac:dyDescent="0.25">
      <c r="A84" s="64"/>
      <c r="B84" s="65"/>
      <c r="C84" s="222" t="s">
        <v>64</v>
      </c>
      <c r="D84" s="222"/>
      <c r="E84" s="222"/>
      <c r="F84" s="222"/>
      <c r="G84" s="222"/>
      <c r="H84" s="46"/>
      <c r="I84" s="47"/>
      <c r="J84" s="47"/>
      <c r="K84" s="47"/>
      <c r="L84" s="50"/>
      <c r="M84" s="47"/>
      <c r="N84" s="54">
        <v>28170.57</v>
      </c>
      <c r="O84" s="47"/>
      <c r="P84" s="96">
        <f>P80+P82+P83</f>
        <v>98597.2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43"/>
      <c r="AN84" s="43"/>
      <c r="AO84" s="43"/>
      <c r="AP84" s="43"/>
      <c r="AQ84" s="8"/>
      <c r="AR84" s="43" t="s">
        <v>64</v>
      </c>
      <c r="AS84" s="8"/>
      <c r="AT84" s="8"/>
      <c r="AU84" s="8"/>
      <c r="AV84" s="8"/>
      <c r="AW84" s="8"/>
      <c r="AX84" s="8"/>
      <c r="AY84" s="8"/>
      <c r="AZ84" s="8"/>
      <c r="BA84" s="8"/>
    </row>
    <row r="85" spans="1:53" s="22" customFormat="1" ht="15" x14ac:dyDescent="0.25">
      <c r="A85" s="44" t="s">
        <v>97</v>
      </c>
      <c r="B85" s="45" t="s">
        <v>90</v>
      </c>
      <c r="C85" s="224" t="s">
        <v>91</v>
      </c>
      <c r="D85" s="224"/>
      <c r="E85" s="224"/>
      <c r="F85" s="224"/>
      <c r="G85" s="224"/>
      <c r="H85" s="46" t="s">
        <v>92</v>
      </c>
      <c r="I85" s="47">
        <f>4.2/100*$O$34</f>
        <v>4.2</v>
      </c>
      <c r="J85" s="48">
        <v>1</v>
      </c>
      <c r="K85" s="67">
        <v>4.2</v>
      </c>
      <c r="L85" s="68">
        <v>149.15</v>
      </c>
      <c r="M85" s="49">
        <v>0.96</v>
      </c>
      <c r="N85" s="68">
        <v>143.18</v>
      </c>
      <c r="O85" s="47"/>
      <c r="P85" s="96">
        <f>N85*I85</f>
        <v>601.35600000000011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43"/>
      <c r="AN85" s="43"/>
      <c r="AO85" s="43" t="s">
        <v>91</v>
      </c>
      <c r="AP85" s="43"/>
      <c r="AQ85" s="8"/>
      <c r="AR85" s="43"/>
      <c r="AS85" s="8"/>
      <c r="AT85" s="8"/>
      <c r="AU85" s="8"/>
      <c r="AV85" s="8"/>
      <c r="AW85" s="8"/>
      <c r="AX85" s="8"/>
      <c r="AY85" s="8"/>
      <c r="AZ85" s="8"/>
      <c r="BA85" s="8"/>
    </row>
    <row r="86" spans="1:53" s="22" customFormat="1" ht="15" x14ac:dyDescent="0.25">
      <c r="A86" s="64"/>
      <c r="B86" s="65"/>
      <c r="C86" s="222" t="s">
        <v>64</v>
      </c>
      <c r="D86" s="222"/>
      <c r="E86" s="222"/>
      <c r="F86" s="222"/>
      <c r="G86" s="222"/>
      <c r="H86" s="46"/>
      <c r="I86" s="47"/>
      <c r="J86" s="47"/>
      <c r="K86" s="47"/>
      <c r="L86" s="50"/>
      <c r="M86" s="47"/>
      <c r="N86" s="50"/>
      <c r="O86" s="47"/>
      <c r="P86" s="96">
        <f>P85</f>
        <v>601.35600000000011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43"/>
      <c r="AN86" s="43"/>
      <c r="AO86" s="43"/>
      <c r="AP86" s="43"/>
      <c r="AQ86" s="8"/>
      <c r="AR86" s="43" t="s">
        <v>64</v>
      </c>
      <c r="AS86" s="8"/>
      <c r="AT86" s="8"/>
      <c r="AU86" s="8"/>
      <c r="AV86" s="8"/>
      <c r="AW86" s="8"/>
      <c r="AX86" s="8"/>
      <c r="AY86" s="8"/>
      <c r="AZ86" s="8"/>
      <c r="BA86" s="8"/>
    </row>
    <row r="87" spans="1:53" s="22" customFormat="1" ht="15" x14ac:dyDescent="0.25">
      <c r="A87" s="44" t="s">
        <v>104</v>
      </c>
      <c r="B87" s="45" t="s">
        <v>94</v>
      </c>
      <c r="C87" s="224" t="s">
        <v>95</v>
      </c>
      <c r="D87" s="224"/>
      <c r="E87" s="224"/>
      <c r="F87" s="224"/>
      <c r="G87" s="224"/>
      <c r="H87" s="46" t="s">
        <v>96</v>
      </c>
      <c r="I87" s="47">
        <f>63/100*$O$34</f>
        <v>63</v>
      </c>
      <c r="J87" s="48">
        <v>1</v>
      </c>
      <c r="K87" s="48">
        <v>63</v>
      </c>
      <c r="L87" s="54">
        <v>1062.45</v>
      </c>
      <c r="M87" s="49">
        <v>1.03</v>
      </c>
      <c r="N87" s="54">
        <v>1094.32</v>
      </c>
      <c r="O87" s="47"/>
      <c r="P87" s="96">
        <f>N87*I87</f>
        <v>68942.159999999989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43"/>
      <c r="AN87" s="43"/>
      <c r="AO87" s="43" t="s">
        <v>95</v>
      </c>
      <c r="AP87" s="43"/>
      <c r="AQ87" s="8"/>
      <c r="AR87" s="43"/>
      <c r="AS87" s="8"/>
      <c r="AT87" s="8"/>
      <c r="AU87" s="8"/>
      <c r="AV87" s="8"/>
      <c r="AW87" s="8"/>
      <c r="AX87" s="8"/>
      <c r="AY87" s="8"/>
      <c r="AZ87" s="8"/>
      <c r="BA87" s="8"/>
    </row>
    <row r="88" spans="1:53" s="22" customFormat="1" ht="15" x14ac:dyDescent="0.25">
      <c r="A88" s="64"/>
      <c r="B88" s="65"/>
      <c r="C88" s="222" t="s">
        <v>64</v>
      </c>
      <c r="D88" s="222"/>
      <c r="E88" s="222"/>
      <c r="F88" s="222"/>
      <c r="G88" s="222"/>
      <c r="H88" s="46"/>
      <c r="I88" s="47"/>
      <c r="J88" s="47"/>
      <c r="K88" s="47"/>
      <c r="L88" s="50"/>
      <c r="M88" s="47"/>
      <c r="N88" s="50"/>
      <c r="O88" s="47"/>
      <c r="P88" s="96">
        <f>P87</f>
        <v>68942.159999999989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43"/>
      <c r="AN88" s="43"/>
      <c r="AO88" s="43"/>
      <c r="AP88" s="43"/>
      <c r="AQ88" s="8"/>
      <c r="AR88" s="43" t="s">
        <v>64</v>
      </c>
      <c r="AS88" s="8"/>
      <c r="AT88" s="8"/>
      <c r="AU88" s="8"/>
      <c r="AV88" s="8"/>
      <c r="AW88" s="8"/>
      <c r="AX88" s="8"/>
      <c r="AY88" s="8"/>
      <c r="AZ88" s="8"/>
      <c r="BA88" s="8"/>
    </row>
    <row r="89" spans="1:53" s="22" customFormat="1" ht="34.5" x14ac:dyDescent="0.25">
      <c r="A89" s="44" t="s">
        <v>108</v>
      </c>
      <c r="B89" s="45" t="s">
        <v>98</v>
      </c>
      <c r="C89" s="224" t="s">
        <v>99</v>
      </c>
      <c r="D89" s="224"/>
      <c r="E89" s="224"/>
      <c r="F89" s="224"/>
      <c r="G89" s="224"/>
      <c r="H89" s="46" t="s">
        <v>72</v>
      </c>
      <c r="I89" s="47">
        <f>1.11/100*$O$34</f>
        <v>1.1100000000000001</v>
      </c>
      <c r="J89" s="48">
        <v>1</v>
      </c>
      <c r="K89" s="49">
        <v>1.1100000000000001</v>
      </c>
      <c r="L89" s="50"/>
      <c r="M89" s="47"/>
      <c r="N89" s="50"/>
      <c r="O89" s="47"/>
      <c r="P89" s="51"/>
      <c r="Q89" s="4"/>
      <c r="R89" s="4"/>
      <c r="S89" s="4"/>
      <c r="T89" s="4"/>
      <c r="U89" s="4"/>
      <c r="V89" s="4"/>
      <c r="W89" s="4"/>
      <c r="X89" s="4"/>
      <c r="Y89" s="4"/>
      <c r="Z89" s="4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43"/>
      <c r="AN89" s="43"/>
      <c r="AO89" s="43" t="s">
        <v>99</v>
      </c>
      <c r="AP89" s="43"/>
      <c r="AQ89" s="8"/>
      <c r="AR89" s="43"/>
      <c r="AS89" s="8"/>
      <c r="AT89" s="8"/>
      <c r="AU89" s="8"/>
      <c r="AV89" s="8"/>
      <c r="AW89" s="8"/>
      <c r="AX89" s="8"/>
      <c r="AY89" s="8"/>
      <c r="AZ89" s="8"/>
      <c r="BA89" s="8"/>
    </row>
    <row r="90" spans="1:53" s="22" customFormat="1" ht="15" x14ac:dyDescent="0.25">
      <c r="A90" s="52"/>
      <c r="B90" s="53"/>
      <c r="C90" s="222" t="s">
        <v>57</v>
      </c>
      <c r="D90" s="222"/>
      <c r="E90" s="222"/>
      <c r="F90" s="222"/>
      <c r="G90" s="222"/>
      <c r="H90" s="46"/>
      <c r="I90" s="47"/>
      <c r="J90" s="47"/>
      <c r="K90" s="47"/>
      <c r="L90" s="50"/>
      <c r="M90" s="47"/>
      <c r="N90" s="54"/>
      <c r="O90" s="47"/>
      <c r="P90" s="55">
        <f>17195/100*$O$34</f>
        <v>17195</v>
      </c>
      <c r="Q90" s="56"/>
      <c r="R90" s="56"/>
      <c r="S90" s="4"/>
      <c r="T90" s="4"/>
      <c r="U90" s="4"/>
      <c r="V90" s="4"/>
      <c r="W90" s="4"/>
      <c r="X90" s="4"/>
      <c r="Y90" s="4"/>
      <c r="Z90" s="4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43"/>
      <c r="AN90" s="43"/>
      <c r="AO90" s="43"/>
      <c r="AP90" s="43" t="s">
        <v>57</v>
      </c>
      <c r="AQ90" s="8"/>
      <c r="AR90" s="43"/>
      <c r="AS90" s="8"/>
      <c r="AT90" s="8"/>
      <c r="AU90" s="8"/>
      <c r="AV90" s="8"/>
      <c r="AW90" s="8"/>
      <c r="AX90" s="8"/>
      <c r="AY90" s="8"/>
      <c r="AZ90" s="8"/>
      <c r="BA90" s="8"/>
    </row>
    <row r="91" spans="1:53" s="22" customFormat="1" ht="15" x14ac:dyDescent="0.25">
      <c r="A91" s="57"/>
      <c r="B91" s="58"/>
      <c r="C91" s="223" t="s">
        <v>58</v>
      </c>
      <c r="D91" s="223"/>
      <c r="E91" s="223"/>
      <c r="F91" s="223"/>
      <c r="G91" s="223"/>
      <c r="H91" s="59"/>
      <c r="I91" s="60"/>
      <c r="J91" s="60"/>
      <c r="K91" s="60"/>
      <c r="L91" s="61"/>
      <c r="M91" s="60"/>
      <c r="N91" s="61"/>
      <c r="O91" s="60"/>
      <c r="P91" s="62">
        <f>17006/100*$O$34</f>
        <v>17006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43"/>
      <c r="AN91" s="43"/>
      <c r="AO91" s="43"/>
      <c r="AP91" s="43"/>
      <c r="AQ91" s="8" t="s">
        <v>58</v>
      </c>
      <c r="AR91" s="43"/>
      <c r="AS91" s="8"/>
      <c r="AT91" s="8"/>
      <c r="AU91" s="8"/>
      <c r="AV91" s="8"/>
      <c r="AW91" s="8"/>
      <c r="AX91" s="8"/>
      <c r="AY91" s="8"/>
      <c r="AZ91" s="8"/>
      <c r="BA91" s="8"/>
    </row>
    <row r="92" spans="1:53" s="22" customFormat="1" ht="15" x14ac:dyDescent="0.25">
      <c r="A92" s="57"/>
      <c r="B92" s="58" t="s">
        <v>100</v>
      </c>
      <c r="C92" s="223" t="s">
        <v>101</v>
      </c>
      <c r="D92" s="223"/>
      <c r="E92" s="223"/>
      <c r="F92" s="223"/>
      <c r="G92" s="223"/>
      <c r="H92" s="59" t="s">
        <v>61</v>
      </c>
      <c r="I92" s="63">
        <v>147</v>
      </c>
      <c r="J92" s="60"/>
      <c r="K92" s="63">
        <v>147</v>
      </c>
      <c r="L92" s="61"/>
      <c r="M92" s="60"/>
      <c r="N92" s="61"/>
      <c r="O92" s="60"/>
      <c r="P92" s="95">
        <f>P91*K92%</f>
        <v>24998.82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43"/>
      <c r="AN92" s="43"/>
      <c r="AO92" s="43"/>
      <c r="AP92" s="43"/>
      <c r="AQ92" s="8" t="s">
        <v>101</v>
      </c>
      <c r="AR92" s="43"/>
      <c r="AS92" s="8"/>
      <c r="AT92" s="8"/>
      <c r="AU92" s="8"/>
      <c r="AV92" s="8"/>
      <c r="AW92" s="8"/>
      <c r="AX92" s="8"/>
      <c r="AY92" s="8"/>
      <c r="AZ92" s="8"/>
      <c r="BA92" s="8"/>
    </row>
    <row r="93" spans="1:53" s="22" customFormat="1" ht="15" x14ac:dyDescent="0.25">
      <c r="A93" s="57"/>
      <c r="B93" s="58" t="s">
        <v>102</v>
      </c>
      <c r="C93" s="223" t="s">
        <v>103</v>
      </c>
      <c r="D93" s="223"/>
      <c r="E93" s="223"/>
      <c r="F93" s="223"/>
      <c r="G93" s="223"/>
      <c r="H93" s="59" t="s">
        <v>61</v>
      </c>
      <c r="I93" s="63">
        <v>134</v>
      </c>
      <c r="J93" s="60"/>
      <c r="K93" s="63">
        <v>134</v>
      </c>
      <c r="L93" s="61"/>
      <c r="M93" s="60"/>
      <c r="N93" s="61"/>
      <c r="O93" s="60"/>
      <c r="P93" s="95">
        <f>P91*K93%</f>
        <v>22788.04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43"/>
      <c r="AN93" s="43"/>
      <c r="AO93" s="43"/>
      <c r="AP93" s="43"/>
      <c r="AQ93" s="8" t="s">
        <v>103</v>
      </c>
      <c r="AR93" s="43"/>
      <c r="AS93" s="8"/>
      <c r="AT93" s="8"/>
      <c r="AU93" s="8"/>
      <c r="AV93" s="8"/>
      <c r="AW93" s="8"/>
      <c r="AX93" s="8"/>
      <c r="AY93" s="8"/>
      <c r="AZ93" s="8"/>
      <c r="BA93" s="8"/>
    </row>
    <row r="94" spans="1:53" s="22" customFormat="1" ht="15" x14ac:dyDescent="0.25">
      <c r="A94" s="64"/>
      <c r="B94" s="65"/>
      <c r="C94" s="222" t="s">
        <v>64</v>
      </c>
      <c r="D94" s="222"/>
      <c r="E94" s="222"/>
      <c r="F94" s="222"/>
      <c r="G94" s="222"/>
      <c r="H94" s="46"/>
      <c r="I94" s="47"/>
      <c r="J94" s="47"/>
      <c r="K94" s="47"/>
      <c r="L94" s="50"/>
      <c r="M94" s="47"/>
      <c r="N94" s="54">
        <v>58542.34</v>
      </c>
      <c r="O94" s="47"/>
      <c r="P94" s="96">
        <f>P90+P92+P93</f>
        <v>64981.86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43"/>
      <c r="AN94" s="43"/>
      <c r="AO94" s="43"/>
      <c r="AP94" s="43"/>
      <c r="AQ94" s="8"/>
      <c r="AR94" s="43" t="s">
        <v>64</v>
      </c>
      <c r="AS94" s="8"/>
      <c r="AT94" s="8"/>
      <c r="AU94" s="8"/>
      <c r="AV94" s="8"/>
      <c r="AW94" s="8"/>
      <c r="AX94" s="8"/>
      <c r="AY94" s="8"/>
      <c r="AZ94" s="8"/>
      <c r="BA94" s="8"/>
    </row>
    <row r="95" spans="1:53" s="22" customFormat="1" ht="23.25" x14ac:dyDescent="0.25">
      <c r="A95" s="44" t="s">
        <v>115</v>
      </c>
      <c r="B95" s="45" t="s">
        <v>105</v>
      </c>
      <c r="C95" s="224" t="s">
        <v>106</v>
      </c>
      <c r="D95" s="224"/>
      <c r="E95" s="224"/>
      <c r="F95" s="224"/>
      <c r="G95" s="224"/>
      <c r="H95" s="46" t="s">
        <v>107</v>
      </c>
      <c r="I95" s="47">
        <f>1332/100*$O$34</f>
        <v>1332</v>
      </c>
      <c r="J95" s="48">
        <v>1</v>
      </c>
      <c r="K95" s="48">
        <v>1332</v>
      </c>
      <c r="L95" s="68">
        <v>44.74</v>
      </c>
      <c r="M95" s="49">
        <v>1.07</v>
      </c>
      <c r="N95" s="68">
        <v>47.87</v>
      </c>
      <c r="O95" s="47"/>
      <c r="P95" s="96">
        <f>N95*I95</f>
        <v>63762.84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43"/>
      <c r="AN95" s="43"/>
      <c r="AO95" s="43" t="s">
        <v>106</v>
      </c>
      <c r="AP95" s="43"/>
      <c r="AQ95" s="8"/>
      <c r="AR95" s="43"/>
      <c r="AS95" s="8"/>
      <c r="AT95" s="8"/>
      <c r="AU95" s="8"/>
      <c r="AV95" s="8"/>
      <c r="AW95" s="8"/>
      <c r="AX95" s="8"/>
      <c r="AY95" s="8"/>
      <c r="AZ95" s="8"/>
      <c r="BA95" s="8"/>
    </row>
    <row r="96" spans="1:53" s="22" customFormat="1" ht="15" x14ac:dyDescent="0.25">
      <c r="A96" s="64"/>
      <c r="B96" s="65"/>
      <c r="C96" s="222" t="s">
        <v>64</v>
      </c>
      <c r="D96" s="222"/>
      <c r="E96" s="222"/>
      <c r="F96" s="222"/>
      <c r="G96" s="222"/>
      <c r="H96" s="46"/>
      <c r="I96" s="47"/>
      <c r="J96" s="47"/>
      <c r="K96" s="47"/>
      <c r="L96" s="50"/>
      <c r="M96" s="47"/>
      <c r="N96" s="50"/>
      <c r="O96" s="47"/>
      <c r="P96" s="96">
        <f>P95</f>
        <v>63762.84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43"/>
      <c r="AN96" s="43"/>
      <c r="AO96" s="43"/>
      <c r="AP96" s="43"/>
      <c r="AQ96" s="8"/>
      <c r="AR96" s="43" t="s">
        <v>64</v>
      </c>
      <c r="AS96" s="8"/>
      <c r="AT96" s="8"/>
      <c r="AU96" s="8"/>
      <c r="AV96" s="8"/>
      <c r="AW96" s="8"/>
      <c r="AX96" s="8"/>
      <c r="AY96" s="8"/>
      <c r="AZ96" s="8"/>
      <c r="BA96" s="8"/>
    </row>
    <row r="97" spans="1:53" s="22" customFormat="1" ht="15" x14ac:dyDescent="0.25">
      <c r="A97" s="44" t="s">
        <v>119</v>
      </c>
      <c r="B97" s="45" t="s">
        <v>131</v>
      </c>
      <c r="C97" s="224" t="s">
        <v>169</v>
      </c>
      <c r="D97" s="224"/>
      <c r="E97" s="224"/>
      <c r="F97" s="224"/>
      <c r="G97" s="224"/>
      <c r="H97" s="46" t="s">
        <v>96</v>
      </c>
      <c r="I97" s="47">
        <f>8/100*$O$34</f>
        <v>8</v>
      </c>
      <c r="J97" s="48">
        <v>1</v>
      </c>
      <c r="K97" s="48">
        <v>8</v>
      </c>
      <c r="L97" s="50"/>
      <c r="M97" s="47"/>
      <c r="N97" s="50"/>
      <c r="O97" s="47"/>
      <c r="P97" s="51"/>
      <c r="Q97" s="4"/>
      <c r="R97" s="4"/>
      <c r="S97" s="4"/>
      <c r="T97" s="4"/>
      <c r="U97" s="4"/>
      <c r="V97" s="4"/>
      <c r="W97" s="4"/>
      <c r="X97" s="4"/>
      <c r="Y97" s="4"/>
      <c r="Z97" s="4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43"/>
      <c r="AN97" s="43"/>
      <c r="AO97" s="43" t="s">
        <v>169</v>
      </c>
      <c r="AP97" s="43"/>
      <c r="AQ97" s="8"/>
      <c r="AR97" s="43"/>
      <c r="AS97" s="8"/>
      <c r="AT97" s="8"/>
      <c r="AU97" s="8"/>
      <c r="AV97" s="8"/>
      <c r="AW97" s="8"/>
      <c r="AX97" s="8"/>
      <c r="AY97" s="8"/>
      <c r="AZ97" s="8"/>
      <c r="BA97" s="8"/>
    </row>
    <row r="98" spans="1:53" s="22" customFormat="1" ht="15" x14ac:dyDescent="0.25">
      <c r="A98" s="52"/>
      <c r="B98" s="53"/>
      <c r="C98" s="222" t="s">
        <v>57</v>
      </c>
      <c r="D98" s="222"/>
      <c r="E98" s="222"/>
      <c r="F98" s="222"/>
      <c r="G98" s="222"/>
      <c r="H98" s="46"/>
      <c r="I98" s="47"/>
      <c r="J98" s="47"/>
      <c r="K98" s="47"/>
      <c r="L98" s="50"/>
      <c r="M98" s="47"/>
      <c r="N98" s="54"/>
      <c r="O98" s="47"/>
      <c r="P98" s="55">
        <f>3294/100*$O$34</f>
        <v>3294</v>
      </c>
      <c r="Q98" s="56"/>
      <c r="R98" s="56"/>
      <c r="S98" s="4"/>
      <c r="T98" s="4"/>
      <c r="U98" s="4"/>
      <c r="V98" s="4"/>
      <c r="W98" s="4"/>
      <c r="X98" s="4"/>
      <c r="Y98" s="4"/>
      <c r="Z98" s="4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43"/>
      <c r="AN98" s="43"/>
      <c r="AO98" s="43"/>
      <c r="AP98" s="43" t="s">
        <v>57</v>
      </c>
      <c r="AQ98" s="8"/>
      <c r="AR98" s="43"/>
      <c r="AS98" s="8"/>
      <c r="AT98" s="8"/>
      <c r="AU98" s="8"/>
      <c r="AV98" s="8"/>
      <c r="AW98" s="8"/>
      <c r="AX98" s="8"/>
      <c r="AY98" s="8"/>
      <c r="AZ98" s="8"/>
      <c r="BA98" s="8"/>
    </row>
    <row r="99" spans="1:53" s="22" customFormat="1" ht="15" x14ac:dyDescent="0.25">
      <c r="A99" s="57"/>
      <c r="B99" s="58"/>
      <c r="C99" s="223" t="s">
        <v>58</v>
      </c>
      <c r="D99" s="223"/>
      <c r="E99" s="223"/>
      <c r="F99" s="223"/>
      <c r="G99" s="223"/>
      <c r="H99" s="59"/>
      <c r="I99" s="60"/>
      <c r="J99" s="60"/>
      <c r="K99" s="60"/>
      <c r="L99" s="61"/>
      <c r="M99" s="60"/>
      <c r="N99" s="61"/>
      <c r="O99" s="60"/>
      <c r="P99" s="62">
        <f>2506/100*$O$34</f>
        <v>2506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43"/>
      <c r="AN99" s="43"/>
      <c r="AO99" s="43"/>
      <c r="AP99" s="43"/>
      <c r="AQ99" s="8" t="s">
        <v>58</v>
      </c>
      <c r="AR99" s="43"/>
      <c r="AS99" s="8"/>
      <c r="AT99" s="8"/>
      <c r="AU99" s="8"/>
      <c r="AV99" s="8"/>
      <c r="AW99" s="8"/>
      <c r="AX99" s="8"/>
      <c r="AY99" s="8"/>
      <c r="AZ99" s="8"/>
      <c r="BA99" s="8"/>
    </row>
    <row r="100" spans="1:53" s="22" customFormat="1" ht="15" x14ac:dyDescent="0.25">
      <c r="A100" s="57"/>
      <c r="B100" s="58" t="s">
        <v>133</v>
      </c>
      <c r="C100" s="223" t="s">
        <v>134</v>
      </c>
      <c r="D100" s="223"/>
      <c r="E100" s="223"/>
      <c r="F100" s="223"/>
      <c r="G100" s="223"/>
      <c r="H100" s="59" t="s">
        <v>61</v>
      </c>
      <c r="I100" s="63">
        <v>110</v>
      </c>
      <c r="J100" s="60"/>
      <c r="K100" s="63">
        <v>110</v>
      </c>
      <c r="L100" s="61"/>
      <c r="M100" s="60"/>
      <c r="N100" s="61"/>
      <c r="O100" s="60"/>
      <c r="P100" s="95">
        <f>P99*K100%</f>
        <v>2756.6000000000004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43"/>
      <c r="AN100" s="43"/>
      <c r="AO100" s="43"/>
      <c r="AP100" s="43"/>
      <c r="AQ100" s="8" t="s">
        <v>134</v>
      </c>
      <c r="AR100" s="43"/>
      <c r="AS100" s="8"/>
      <c r="AT100" s="8"/>
      <c r="AU100" s="8"/>
      <c r="AV100" s="8"/>
      <c r="AW100" s="8"/>
      <c r="AX100" s="8"/>
      <c r="AY100" s="8"/>
      <c r="AZ100" s="8"/>
      <c r="BA100" s="8"/>
    </row>
    <row r="101" spans="1:53" s="22" customFormat="1" ht="15" x14ac:dyDescent="0.25">
      <c r="A101" s="57"/>
      <c r="B101" s="58" t="s">
        <v>135</v>
      </c>
      <c r="C101" s="223" t="s">
        <v>136</v>
      </c>
      <c r="D101" s="223"/>
      <c r="E101" s="223"/>
      <c r="F101" s="223"/>
      <c r="G101" s="223"/>
      <c r="H101" s="59" t="s">
        <v>61</v>
      </c>
      <c r="I101" s="63">
        <v>69</v>
      </c>
      <c r="J101" s="60"/>
      <c r="K101" s="63">
        <v>69</v>
      </c>
      <c r="L101" s="61"/>
      <c r="M101" s="60"/>
      <c r="N101" s="61"/>
      <c r="O101" s="60"/>
      <c r="P101" s="95">
        <f>P99*K101%</f>
        <v>1729.1399999999999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43"/>
      <c r="AN101" s="43"/>
      <c r="AO101" s="43"/>
      <c r="AP101" s="43"/>
      <c r="AQ101" s="8" t="s">
        <v>136</v>
      </c>
      <c r="AR101" s="43"/>
      <c r="AS101" s="8"/>
      <c r="AT101" s="8"/>
      <c r="AU101" s="8"/>
      <c r="AV101" s="8"/>
      <c r="AW101" s="8"/>
      <c r="AX101" s="8"/>
      <c r="AY101" s="8"/>
      <c r="AZ101" s="8"/>
      <c r="BA101" s="8"/>
    </row>
    <row r="102" spans="1:53" s="22" customFormat="1" ht="15" x14ac:dyDescent="0.25">
      <c r="A102" s="64"/>
      <c r="B102" s="65"/>
      <c r="C102" s="222" t="s">
        <v>64</v>
      </c>
      <c r="D102" s="222"/>
      <c r="E102" s="222"/>
      <c r="F102" s="222"/>
      <c r="G102" s="222"/>
      <c r="H102" s="46"/>
      <c r="I102" s="47"/>
      <c r="J102" s="47"/>
      <c r="K102" s="47"/>
      <c r="L102" s="50"/>
      <c r="M102" s="47"/>
      <c r="N102" s="68">
        <v>972.5</v>
      </c>
      <c r="O102" s="47"/>
      <c r="P102" s="96">
        <f>P98+P100+P101</f>
        <v>7779.74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43"/>
      <c r="AN102" s="43"/>
      <c r="AO102" s="43"/>
      <c r="AP102" s="43"/>
      <c r="AQ102" s="8"/>
      <c r="AR102" s="43" t="s">
        <v>64</v>
      </c>
      <c r="AS102" s="8"/>
      <c r="AT102" s="8"/>
      <c r="AU102" s="8"/>
      <c r="AV102" s="8"/>
      <c r="AW102" s="8"/>
      <c r="AX102" s="8"/>
      <c r="AY102" s="8"/>
      <c r="AZ102" s="8"/>
      <c r="BA102" s="8"/>
    </row>
    <row r="103" spans="1:53" s="22" customFormat="1" ht="23.25" x14ac:dyDescent="0.25">
      <c r="A103" s="44" t="s">
        <v>127</v>
      </c>
      <c r="B103" s="45" t="s">
        <v>170</v>
      </c>
      <c r="C103" s="224" t="s">
        <v>171</v>
      </c>
      <c r="D103" s="224"/>
      <c r="E103" s="224"/>
      <c r="F103" s="224"/>
      <c r="G103" s="224"/>
      <c r="H103" s="46" t="s">
        <v>96</v>
      </c>
      <c r="I103" s="47">
        <f>9.2/100*$O$34</f>
        <v>9.1999999999999993</v>
      </c>
      <c r="J103" s="48">
        <v>1</v>
      </c>
      <c r="K103" s="67">
        <v>9.1999999999999993</v>
      </c>
      <c r="L103" s="54">
        <v>1892.9</v>
      </c>
      <c r="M103" s="49">
        <v>1.25</v>
      </c>
      <c r="N103" s="54">
        <v>2366.13</v>
      </c>
      <c r="O103" s="47"/>
      <c r="P103" s="96">
        <f>N103*I103</f>
        <v>21768.396000000001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43"/>
      <c r="AN103" s="43"/>
      <c r="AO103" s="43" t="s">
        <v>171</v>
      </c>
      <c r="AP103" s="43"/>
      <c r="AQ103" s="8"/>
      <c r="AR103" s="43"/>
      <c r="AS103" s="8"/>
      <c r="AT103" s="8"/>
      <c r="AU103" s="8"/>
      <c r="AV103" s="8"/>
      <c r="AW103" s="8"/>
      <c r="AX103" s="8"/>
      <c r="AY103" s="8"/>
      <c r="AZ103" s="8"/>
      <c r="BA103" s="8"/>
    </row>
    <row r="104" spans="1:53" s="22" customFormat="1" ht="15" x14ac:dyDescent="0.25">
      <c r="A104" s="64"/>
      <c r="B104" s="65"/>
      <c r="C104" s="222" t="s">
        <v>64</v>
      </c>
      <c r="D104" s="222"/>
      <c r="E104" s="222"/>
      <c r="F104" s="222"/>
      <c r="G104" s="222"/>
      <c r="H104" s="46"/>
      <c r="I104" s="47"/>
      <c r="J104" s="47"/>
      <c r="K104" s="47"/>
      <c r="L104" s="50"/>
      <c r="M104" s="47"/>
      <c r="N104" s="50"/>
      <c r="O104" s="47"/>
      <c r="P104" s="96">
        <f>P103</f>
        <v>21768.396000000001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43"/>
      <c r="AN104" s="43"/>
      <c r="AO104" s="43"/>
      <c r="AP104" s="43"/>
      <c r="AQ104" s="8"/>
      <c r="AR104" s="43" t="s">
        <v>64</v>
      </c>
      <c r="AS104" s="8"/>
      <c r="AT104" s="8"/>
      <c r="AU104" s="8"/>
      <c r="AV104" s="8"/>
      <c r="AW104" s="8"/>
      <c r="AX104" s="8"/>
      <c r="AY104" s="8"/>
      <c r="AZ104" s="8"/>
      <c r="BA104" s="8"/>
    </row>
    <row r="105" spans="1:53" s="22" customFormat="1" ht="15" x14ac:dyDescent="0.25">
      <c r="A105" s="44" t="s">
        <v>130</v>
      </c>
      <c r="B105" s="45" t="s">
        <v>172</v>
      </c>
      <c r="C105" s="224" t="s">
        <v>195</v>
      </c>
      <c r="D105" s="224"/>
      <c r="E105" s="224"/>
      <c r="F105" s="224"/>
      <c r="G105" s="224"/>
      <c r="H105" s="46" t="s">
        <v>56</v>
      </c>
      <c r="I105" s="47">
        <f>0.2/100*$O$34</f>
        <v>0.2</v>
      </c>
      <c r="J105" s="48">
        <v>1</v>
      </c>
      <c r="K105" s="67">
        <v>0.2</v>
      </c>
      <c r="L105" s="50"/>
      <c r="M105" s="47"/>
      <c r="N105" s="50"/>
      <c r="O105" s="47"/>
      <c r="P105" s="51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43"/>
      <c r="AN105" s="43"/>
      <c r="AO105" s="43" t="s">
        <v>195</v>
      </c>
      <c r="AP105" s="43"/>
      <c r="AQ105" s="8"/>
      <c r="AR105" s="43"/>
      <c r="AS105" s="8"/>
      <c r="AT105" s="8"/>
      <c r="AU105" s="8"/>
      <c r="AV105" s="8"/>
      <c r="AW105" s="8"/>
      <c r="AX105" s="8"/>
      <c r="AY105" s="8"/>
      <c r="AZ105" s="8"/>
      <c r="BA105" s="8"/>
    </row>
    <row r="106" spans="1:53" s="22" customFormat="1" ht="15" x14ac:dyDescent="0.25">
      <c r="A106" s="52"/>
      <c r="B106" s="53"/>
      <c r="C106" s="222" t="s">
        <v>57</v>
      </c>
      <c r="D106" s="222"/>
      <c r="E106" s="222"/>
      <c r="F106" s="222"/>
      <c r="G106" s="222"/>
      <c r="H106" s="46"/>
      <c r="I106" s="47"/>
      <c r="J106" s="47"/>
      <c r="K106" s="47"/>
      <c r="L106" s="50"/>
      <c r="M106" s="47"/>
      <c r="N106" s="54"/>
      <c r="O106" s="47"/>
      <c r="P106" s="55">
        <f>32417/100*$O$34</f>
        <v>32417</v>
      </c>
      <c r="Q106" s="56"/>
      <c r="R106" s="56"/>
      <c r="S106" s="4"/>
      <c r="T106" s="4"/>
      <c r="U106" s="4"/>
      <c r="V106" s="4"/>
      <c r="W106" s="4"/>
      <c r="X106" s="4"/>
      <c r="Y106" s="4"/>
      <c r="Z106" s="4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43"/>
      <c r="AN106" s="43"/>
      <c r="AO106" s="43"/>
      <c r="AP106" s="43" t="s">
        <v>57</v>
      </c>
      <c r="AQ106" s="8"/>
      <c r="AR106" s="43"/>
      <c r="AS106" s="8"/>
      <c r="AT106" s="8"/>
      <c r="AU106" s="8"/>
      <c r="AV106" s="8"/>
      <c r="AW106" s="8"/>
      <c r="AX106" s="8"/>
      <c r="AY106" s="8"/>
      <c r="AZ106" s="8"/>
      <c r="BA106" s="8"/>
    </row>
    <row r="107" spans="1:53" s="22" customFormat="1" ht="15" x14ac:dyDescent="0.25">
      <c r="A107" s="57"/>
      <c r="B107" s="58"/>
      <c r="C107" s="223" t="s">
        <v>58</v>
      </c>
      <c r="D107" s="223"/>
      <c r="E107" s="223"/>
      <c r="F107" s="223"/>
      <c r="G107" s="223"/>
      <c r="H107" s="59"/>
      <c r="I107" s="60"/>
      <c r="J107" s="60"/>
      <c r="K107" s="60"/>
      <c r="L107" s="61"/>
      <c r="M107" s="60"/>
      <c r="N107" s="61"/>
      <c r="O107" s="60"/>
      <c r="P107" s="62">
        <f>24790/100*$O$34</f>
        <v>24790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43"/>
      <c r="AN107" s="43"/>
      <c r="AO107" s="43"/>
      <c r="AP107" s="43"/>
      <c r="AQ107" s="8" t="s">
        <v>58</v>
      </c>
      <c r="AR107" s="43"/>
      <c r="AS107" s="8"/>
      <c r="AT107" s="8"/>
      <c r="AU107" s="8"/>
      <c r="AV107" s="8"/>
      <c r="AW107" s="8"/>
      <c r="AX107" s="8"/>
      <c r="AY107" s="8"/>
      <c r="AZ107" s="8"/>
      <c r="BA107" s="8"/>
    </row>
    <row r="108" spans="1:53" s="22" customFormat="1" ht="23.25" x14ac:dyDescent="0.25">
      <c r="A108" s="57"/>
      <c r="B108" s="58" t="s">
        <v>174</v>
      </c>
      <c r="C108" s="223" t="s">
        <v>175</v>
      </c>
      <c r="D108" s="223"/>
      <c r="E108" s="223"/>
      <c r="F108" s="223"/>
      <c r="G108" s="223"/>
      <c r="H108" s="59" t="s">
        <v>61</v>
      </c>
      <c r="I108" s="63">
        <v>102</v>
      </c>
      <c r="J108" s="60"/>
      <c r="K108" s="63">
        <v>102</v>
      </c>
      <c r="L108" s="61"/>
      <c r="M108" s="60"/>
      <c r="N108" s="61"/>
      <c r="O108" s="60"/>
      <c r="P108" s="95">
        <f>P107*K108%</f>
        <v>25285.8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43"/>
      <c r="AN108" s="43"/>
      <c r="AO108" s="43"/>
      <c r="AP108" s="43"/>
      <c r="AQ108" s="8" t="s">
        <v>175</v>
      </c>
      <c r="AR108" s="43"/>
      <c r="AS108" s="8"/>
      <c r="AT108" s="8"/>
      <c r="AU108" s="8"/>
      <c r="AV108" s="8"/>
      <c r="AW108" s="8"/>
      <c r="AX108" s="8"/>
      <c r="AY108" s="8"/>
      <c r="AZ108" s="8"/>
      <c r="BA108" s="8"/>
    </row>
    <row r="109" spans="1:53" s="22" customFormat="1" ht="23.25" x14ac:dyDescent="0.25">
      <c r="A109" s="57"/>
      <c r="B109" s="58" t="s">
        <v>176</v>
      </c>
      <c r="C109" s="223" t="s">
        <v>177</v>
      </c>
      <c r="D109" s="223"/>
      <c r="E109" s="223"/>
      <c r="F109" s="223"/>
      <c r="G109" s="223"/>
      <c r="H109" s="59" t="s">
        <v>61</v>
      </c>
      <c r="I109" s="63">
        <v>58</v>
      </c>
      <c r="J109" s="60"/>
      <c r="K109" s="63">
        <v>58</v>
      </c>
      <c r="L109" s="61"/>
      <c r="M109" s="60"/>
      <c r="N109" s="61"/>
      <c r="O109" s="60"/>
      <c r="P109" s="95">
        <f>P107*K109%</f>
        <v>14378.199999999999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43"/>
      <c r="AN109" s="43"/>
      <c r="AO109" s="43"/>
      <c r="AP109" s="43"/>
      <c r="AQ109" s="8" t="s">
        <v>177</v>
      </c>
      <c r="AR109" s="43"/>
      <c r="AS109" s="8"/>
      <c r="AT109" s="8"/>
      <c r="AU109" s="8"/>
      <c r="AV109" s="8"/>
      <c r="AW109" s="8"/>
      <c r="AX109" s="8"/>
      <c r="AY109" s="8"/>
      <c r="AZ109" s="8"/>
      <c r="BA109" s="8"/>
    </row>
    <row r="110" spans="1:53" s="22" customFormat="1" ht="15" x14ac:dyDescent="0.25">
      <c r="A110" s="64"/>
      <c r="B110" s="65"/>
      <c r="C110" s="222" t="s">
        <v>64</v>
      </c>
      <c r="D110" s="222"/>
      <c r="E110" s="222"/>
      <c r="F110" s="222"/>
      <c r="G110" s="222"/>
      <c r="H110" s="46"/>
      <c r="I110" s="47"/>
      <c r="J110" s="47"/>
      <c r="K110" s="47"/>
      <c r="L110" s="50"/>
      <c r="M110" s="47"/>
      <c r="N110" s="54">
        <v>360405</v>
      </c>
      <c r="O110" s="47"/>
      <c r="P110" s="96">
        <f>P106+P108+P109</f>
        <v>72081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43"/>
      <c r="AN110" s="43"/>
      <c r="AO110" s="43"/>
      <c r="AP110" s="43"/>
      <c r="AQ110" s="8"/>
      <c r="AR110" s="43" t="s">
        <v>64</v>
      </c>
      <c r="AS110" s="8"/>
      <c r="AT110" s="8"/>
      <c r="AU110" s="8"/>
      <c r="AV110" s="8"/>
      <c r="AW110" s="8"/>
      <c r="AX110" s="8"/>
      <c r="AY110" s="8"/>
      <c r="AZ110" s="8"/>
      <c r="BA110" s="8"/>
    </row>
    <row r="111" spans="1:53" s="22" customFormat="1" ht="15" x14ac:dyDescent="0.25">
      <c r="A111" s="44" t="s">
        <v>137</v>
      </c>
      <c r="B111" s="45" t="s">
        <v>178</v>
      </c>
      <c r="C111" s="224" t="s">
        <v>179</v>
      </c>
      <c r="D111" s="224"/>
      <c r="E111" s="224"/>
      <c r="F111" s="224"/>
      <c r="G111" s="224"/>
      <c r="H111" s="46" t="s">
        <v>96</v>
      </c>
      <c r="I111" s="47">
        <f>20.4/100*$O$34</f>
        <v>20.399999999999999</v>
      </c>
      <c r="J111" s="48">
        <v>1</v>
      </c>
      <c r="K111" s="67">
        <v>20.399999999999999</v>
      </c>
      <c r="L111" s="50"/>
      <c r="M111" s="47"/>
      <c r="N111" s="54">
        <v>6267.36</v>
      </c>
      <c r="O111" s="47"/>
      <c r="P111" s="96">
        <f>N111*I111</f>
        <v>127854.14399999999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43"/>
      <c r="AN111" s="43"/>
      <c r="AO111" s="43" t="s">
        <v>179</v>
      </c>
      <c r="AP111" s="43"/>
      <c r="AQ111" s="8"/>
      <c r="AR111" s="43"/>
      <c r="AS111" s="8"/>
      <c r="AT111" s="8"/>
      <c r="AU111" s="8"/>
      <c r="AV111" s="8"/>
      <c r="AW111" s="8"/>
      <c r="AX111" s="8"/>
      <c r="AY111" s="8"/>
      <c r="AZ111" s="8"/>
      <c r="BA111" s="8"/>
    </row>
    <row r="112" spans="1:53" s="22" customFormat="1" ht="15" x14ac:dyDescent="0.25">
      <c r="A112" s="64"/>
      <c r="B112" s="65"/>
      <c r="C112" s="222" t="s">
        <v>64</v>
      </c>
      <c r="D112" s="222"/>
      <c r="E112" s="222"/>
      <c r="F112" s="222"/>
      <c r="G112" s="222"/>
      <c r="H112" s="46"/>
      <c r="I112" s="47"/>
      <c r="J112" s="47"/>
      <c r="K112" s="47"/>
      <c r="L112" s="50"/>
      <c r="M112" s="47"/>
      <c r="N112" s="50"/>
      <c r="O112" s="47"/>
      <c r="P112" s="96">
        <f>P111</f>
        <v>127854.14399999999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43"/>
      <c r="AN112" s="43"/>
      <c r="AO112" s="43"/>
      <c r="AP112" s="43"/>
      <c r="AQ112" s="8"/>
      <c r="AR112" s="43" t="s">
        <v>64</v>
      </c>
      <c r="AS112" s="8"/>
      <c r="AT112" s="8"/>
      <c r="AU112" s="8"/>
      <c r="AV112" s="8"/>
      <c r="AW112" s="8"/>
      <c r="AX112" s="8"/>
      <c r="AY112" s="8"/>
      <c r="AZ112" s="8"/>
      <c r="BA112" s="8"/>
    </row>
    <row r="113" spans="1:53" s="22" customFormat="1" ht="15" x14ac:dyDescent="0.25">
      <c r="A113" s="44" t="s">
        <v>180</v>
      </c>
      <c r="B113" s="45" t="s">
        <v>181</v>
      </c>
      <c r="C113" s="224" t="s">
        <v>182</v>
      </c>
      <c r="D113" s="224"/>
      <c r="E113" s="224"/>
      <c r="F113" s="224"/>
      <c r="G113" s="224"/>
      <c r="H113" s="46" t="s">
        <v>56</v>
      </c>
      <c r="I113" s="47">
        <f>0.34/100*$O$34</f>
        <v>0.34</v>
      </c>
      <c r="J113" s="48">
        <v>1</v>
      </c>
      <c r="K113" s="49">
        <v>0.34</v>
      </c>
      <c r="L113" s="50"/>
      <c r="M113" s="47"/>
      <c r="N113" s="50"/>
      <c r="O113" s="47"/>
      <c r="P113" s="51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43"/>
      <c r="AN113" s="43"/>
      <c r="AO113" s="43" t="s">
        <v>182</v>
      </c>
      <c r="AP113" s="43"/>
      <c r="AQ113" s="8"/>
      <c r="AR113" s="43"/>
      <c r="AS113" s="8"/>
      <c r="AT113" s="8"/>
      <c r="AU113" s="8"/>
      <c r="AV113" s="8"/>
      <c r="AW113" s="8"/>
      <c r="AX113" s="8"/>
      <c r="AY113" s="8"/>
      <c r="AZ113" s="8"/>
      <c r="BA113" s="8"/>
    </row>
    <row r="114" spans="1:53" s="22" customFormat="1" ht="15" x14ac:dyDescent="0.25">
      <c r="A114" s="52"/>
      <c r="B114" s="53"/>
      <c r="C114" s="222" t="s">
        <v>57</v>
      </c>
      <c r="D114" s="222"/>
      <c r="E114" s="222"/>
      <c r="F114" s="222"/>
      <c r="G114" s="222"/>
      <c r="H114" s="46"/>
      <c r="I114" s="47"/>
      <c r="J114" s="47"/>
      <c r="K114" s="47"/>
      <c r="L114" s="50"/>
      <c r="M114" s="47"/>
      <c r="N114" s="54"/>
      <c r="O114" s="47"/>
      <c r="P114" s="55">
        <f>17608/100*$O$34</f>
        <v>17608</v>
      </c>
      <c r="Q114" s="56"/>
      <c r="R114" s="56"/>
      <c r="S114" s="4"/>
      <c r="T114" s="4"/>
      <c r="U114" s="4"/>
      <c r="V114" s="4"/>
      <c r="W114" s="4"/>
      <c r="X114" s="4"/>
      <c r="Y114" s="4"/>
      <c r="Z114" s="4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43"/>
      <c r="AN114" s="43"/>
      <c r="AO114" s="43"/>
      <c r="AP114" s="43" t="s">
        <v>57</v>
      </c>
      <c r="AQ114" s="8"/>
      <c r="AR114" s="43"/>
      <c r="AS114" s="8"/>
      <c r="AT114" s="8"/>
      <c r="AU114" s="8"/>
      <c r="AV114" s="8"/>
      <c r="AW114" s="8"/>
      <c r="AX114" s="8"/>
      <c r="AY114" s="8"/>
      <c r="AZ114" s="8"/>
      <c r="BA114" s="8"/>
    </row>
    <row r="115" spans="1:53" s="22" customFormat="1" ht="15" x14ac:dyDescent="0.25">
      <c r="A115" s="57"/>
      <c r="B115" s="58"/>
      <c r="C115" s="223" t="s">
        <v>58</v>
      </c>
      <c r="D115" s="223"/>
      <c r="E115" s="223"/>
      <c r="F115" s="223"/>
      <c r="G115" s="223"/>
      <c r="H115" s="59"/>
      <c r="I115" s="60"/>
      <c r="J115" s="60"/>
      <c r="K115" s="60"/>
      <c r="L115" s="61"/>
      <c r="M115" s="60"/>
      <c r="N115" s="61"/>
      <c r="O115" s="60"/>
      <c r="P115" s="62">
        <f>13624/100*$O$34</f>
        <v>13624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43"/>
      <c r="AN115" s="43"/>
      <c r="AO115" s="43"/>
      <c r="AP115" s="43"/>
      <c r="AQ115" s="8" t="s">
        <v>58</v>
      </c>
      <c r="AR115" s="43"/>
      <c r="AS115" s="8"/>
      <c r="AT115" s="8"/>
      <c r="AU115" s="8"/>
      <c r="AV115" s="8"/>
      <c r="AW115" s="8"/>
      <c r="AX115" s="8"/>
      <c r="AY115" s="8"/>
      <c r="AZ115" s="8"/>
      <c r="BA115" s="8"/>
    </row>
    <row r="116" spans="1:53" s="22" customFormat="1" ht="15" x14ac:dyDescent="0.25">
      <c r="A116" s="57"/>
      <c r="B116" s="58" t="s">
        <v>111</v>
      </c>
      <c r="C116" s="223" t="s">
        <v>112</v>
      </c>
      <c r="D116" s="223"/>
      <c r="E116" s="223"/>
      <c r="F116" s="223"/>
      <c r="G116" s="223"/>
      <c r="H116" s="59" t="s">
        <v>61</v>
      </c>
      <c r="I116" s="63">
        <v>94</v>
      </c>
      <c r="J116" s="60"/>
      <c r="K116" s="63">
        <v>94</v>
      </c>
      <c r="L116" s="61"/>
      <c r="M116" s="60"/>
      <c r="N116" s="61"/>
      <c r="O116" s="60"/>
      <c r="P116" s="95">
        <f>P115*K116%</f>
        <v>12806.56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43"/>
      <c r="AN116" s="43"/>
      <c r="AO116" s="43"/>
      <c r="AP116" s="43"/>
      <c r="AQ116" s="8" t="s">
        <v>112</v>
      </c>
      <c r="AR116" s="43"/>
      <c r="AS116" s="8"/>
      <c r="AT116" s="8"/>
      <c r="AU116" s="8"/>
      <c r="AV116" s="8"/>
      <c r="AW116" s="8"/>
      <c r="AX116" s="8"/>
      <c r="AY116" s="8"/>
      <c r="AZ116" s="8"/>
      <c r="BA116" s="8"/>
    </row>
    <row r="117" spans="1:53" s="22" customFormat="1" ht="15" x14ac:dyDescent="0.25">
      <c r="A117" s="57"/>
      <c r="B117" s="58" t="s">
        <v>113</v>
      </c>
      <c r="C117" s="223" t="s">
        <v>114</v>
      </c>
      <c r="D117" s="223"/>
      <c r="E117" s="223"/>
      <c r="F117" s="223"/>
      <c r="G117" s="223"/>
      <c r="H117" s="59" t="s">
        <v>61</v>
      </c>
      <c r="I117" s="63">
        <v>51</v>
      </c>
      <c r="J117" s="60"/>
      <c r="K117" s="63">
        <v>51</v>
      </c>
      <c r="L117" s="61"/>
      <c r="M117" s="60"/>
      <c r="N117" s="61"/>
      <c r="O117" s="60"/>
      <c r="P117" s="95">
        <f>P115*K117%</f>
        <v>6948.24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43"/>
      <c r="AN117" s="43"/>
      <c r="AO117" s="43"/>
      <c r="AP117" s="43"/>
      <c r="AQ117" s="8" t="s">
        <v>114</v>
      </c>
      <c r="AR117" s="43"/>
      <c r="AS117" s="8"/>
      <c r="AT117" s="8"/>
      <c r="AU117" s="8"/>
      <c r="AV117" s="8"/>
      <c r="AW117" s="8"/>
      <c r="AX117" s="8"/>
      <c r="AY117" s="8"/>
      <c r="AZ117" s="8"/>
      <c r="BA117" s="8"/>
    </row>
    <row r="118" spans="1:53" s="22" customFormat="1" ht="15" x14ac:dyDescent="0.25">
      <c r="A118" s="64"/>
      <c r="B118" s="65"/>
      <c r="C118" s="222" t="s">
        <v>64</v>
      </c>
      <c r="D118" s="222"/>
      <c r="E118" s="222"/>
      <c r="F118" s="222"/>
      <c r="G118" s="222"/>
      <c r="H118" s="46"/>
      <c r="I118" s="47"/>
      <c r="J118" s="47"/>
      <c r="K118" s="47"/>
      <c r="L118" s="50"/>
      <c r="M118" s="47"/>
      <c r="N118" s="54">
        <v>109891.18</v>
      </c>
      <c r="O118" s="47"/>
      <c r="P118" s="96">
        <f>P114+P116+P117</f>
        <v>37362.799999999996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43"/>
      <c r="AN118" s="43"/>
      <c r="AO118" s="43"/>
      <c r="AP118" s="43"/>
      <c r="AQ118" s="8"/>
      <c r="AR118" s="43" t="s">
        <v>64</v>
      </c>
      <c r="AS118" s="8"/>
      <c r="AT118" s="8"/>
      <c r="AU118" s="8"/>
      <c r="AV118" s="8"/>
      <c r="AW118" s="8"/>
      <c r="AX118" s="8"/>
      <c r="AY118" s="8"/>
      <c r="AZ118" s="8"/>
      <c r="BA118" s="8"/>
    </row>
    <row r="119" spans="1:53" s="22" customFormat="1" ht="15" x14ac:dyDescent="0.25">
      <c r="A119" s="44" t="s">
        <v>183</v>
      </c>
      <c r="B119" s="45" t="s">
        <v>184</v>
      </c>
      <c r="C119" s="224" t="s">
        <v>185</v>
      </c>
      <c r="D119" s="224"/>
      <c r="E119" s="224"/>
      <c r="F119" s="224"/>
      <c r="G119" s="224"/>
      <c r="H119" s="46" t="s">
        <v>96</v>
      </c>
      <c r="I119" s="47">
        <f>35.02/100*$O$34</f>
        <v>35.020000000000003</v>
      </c>
      <c r="J119" s="48">
        <v>1</v>
      </c>
      <c r="K119" s="49">
        <v>35.020000000000003</v>
      </c>
      <c r="L119" s="54">
        <v>2283.27</v>
      </c>
      <c r="M119" s="49">
        <v>1.06</v>
      </c>
      <c r="N119" s="54">
        <v>2420.27</v>
      </c>
      <c r="O119" s="47"/>
      <c r="P119" s="96">
        <f>N119*I119</f>
        <v>84757.8554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43"/>
      <c r="AN119" s="43"/>
      <c r="AO119" s="43" t="s">
        <v>185</v>
      </c>
      <c r="AP119" s="43"/>
      <c r="AQ119" s="8"/>
      <c r="AR119" s="43"/>
      <c r="AS119" s="8"/>
      <c r="AT119" s="8"/>
      <c r="AU119" s="8"/>
      <c r="AV119" s="8"/>
      <c r="AW119" s="8"/>
      <c r="AX119" s="8"/>
      <c r="AY119" s="8"/>
      <c r="AZ119" s="8"/>
      <c r="BA119" s="8"/>
    </row>
    <row r="120" spans="1:53" s="22" customFormat="1" ht="15" x14ac:dyDescent="0.25">
      <c r="A120" s="64"/>
      <c r="B120" s="65"/>
      <c r="C120" s="222" t="s">
        <v>64</v>
      </c>
      <c r="D120" s="222"/>
      <c r="E120" s="222"/>
      <c r="F120" s="222"/>
      <c r="G120" s="222"/>
      <c r="H120" s="46"/>
      <c r="I120" s="47"/>
      <c r="J120" s="47"/>
      <c r="K120" s="47"/>
      <c r="L120" s="50"/>
      <c r="M120" s="47"/>
      <c r="N120" s="50"/>
      <c r="O120" s="47"/>
      <c r="P120" s="96">
        <f>P119</f>
        <v>84757.8554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43"/>
      <c r="AN120" s="43"/>
      <c r="AO120" s="43"/>
      <c r="AP120" s="43"/>
      <c r="AQ120" s="8"/>
      <c r="AR120" s="43" t="s">
        <v>64</v>
      </c>
      <c r="AS120" s="8"/>
      <c r="AT120" s="8"/>
      <c r="AU120" s="8"/>
      <c r="AV120" s="8"/>
      <c r="AW120" s="8"/>
      <c r="AX120" s="8"/>
      <c r="AY120" s="8"/>
      <c r="AZ120" s="8"/>
      <c r="BA120" s="8"/>
    </row>
    <row r="121" spans="1:53" s="22" customFormat="1" ht="23.25" x14ac:dyDescent="0.25">
      <c r="A121" s="44" t="s">
        <v>186</v>
      </c>
      <c r="B121" s="45" t="s">
        <v>205</v>
      </c>
      <c r="C121" s="224" t="s">
        <v>206</v>
      </c>
      <c r="D121" s="224"/>
      <c r="E121" s="224"/>
      <c r="F121" s="224"/>
      <c r="G121" s="224"/>
      <c r="H121" s="46" t="s">
        <v>84</v>
      </c>
      <c r="I121" s="47">
        <f>14.7/100*$O$34</f>
        <v>14.7</v>
      </c>
      <c r="J121" s="48">
        <v>1</v>
      </c>
      <c r="K121" s="67">
        <v>14.7</v>
      </c>
      <c r="L121" s="50"/>
      <c r="M121" s="47"/>
      <c r="N121" s="50"/>
      <c r="O121" s="47"/>
      <c r="P121" s="51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43"/>
      <c r="AN121" s="43"/>
      <c r="AO121" s="43" t="s">
        <v>206</v>
      </c>
      <c r="AP121" s="43"/>
      <c r="AQ121" s="8"/>
      <c r="AR121" s="43"/>
      <c r="AS121" s="8"/>
      <c r="AT121" s="8"/>
      <c r="AU121" s="8"/>
      <c r="AV121" s="8"/>
      <c r="AW121" s="8"/>
      <c r="AX121" s="8"/>
      <c r="AY121" s="8"/>
      <c r="AZ121" s="8"/>
      <c r="BA121" s="8"/>
    </row>
    <row r="122" spans="1:53" s="22" customFormat="1" ht="15" x14ac:dyDescent="0.25">
      <c r="A122" s="52"/>
      <c r="B122" s="53"/>
      <c r="C122" s="222" t="s">
        <v>57</v>
      </c>
      <c r="D122" s="222"/>
      <c r="E122" s="222"/>
      <c r="F122" s="222"/>
      <c r="G122" s="222"/>
      <c r="H122" s="46"/>
      <c r="I122" s="47"/>
      <c r="J122" s="47"/>
      <c r="K122" s="47"/>
      <c r="L122" s="50"/>
      <c r="M122" s="47"/>
      <c r="N122" s="54"/>
      <c r="O122" s="47"/>
      <c r="P122" s="55">
        <f>143760/100*$O$34</f>
        <v>143760</v>
      </c>
      <c r="Q122" s="56"/>
      <c r="R122" s="56"/>
      <c r="S122" s="4"/>
      <c r="T122" s="4"/>
      <c r="U122" s="4"/>
      <c r="V122" s="4"/>
      <c r="W122" s="4"/>
      <c r="X122" s="4"/>
      <c r="Y122" s="4"/>
      <c r="Z122" s="4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43"/>
      <c r="AN122" s="43"/>
      <c r="AO122" s="43"/>
      <c r="AP122" s="43" t="s">
        <v>57</v>
      </c>
      <c r="AQ122" s="8"/>
      <c r="AR122" s="43"/>
      <c r="AS122" s="8"/>
      <c r="AT122" s="8"/>
      <c r="AU122" s="8"/>
      <c r="AV122" s="8"/>
      <c r="AW122" s="8"/>
      <c r="AX122" s="8"/>
      <c r="AY122" s="8"/>
      <c r="AZ122" s="8"/>
      <c r="BA122" s="8"/>
    </row>
    <row r="123" spans="1:53" s="22" customFormat="1" ht="15" x14ac:dyDescent="0.25">
      <c r="A123" s="57"/>
      <c r="B123" s="58"/>
      <c r="C123" s="223" t="s">
        <v>58</v>
      </c>
      <c r="D123" s="223"/>
      <c r="E123" s="223"/>
      <c r="F123" s="223"/>
      <c r="G123" s="223"/>
      <c r="H123" s="59"/>
      <c r="I123" s="60"/>
      <c r="J123" s="60"/>
      <c r="K123" s="60"/>
      <c r="L123" s="61"/>
      <c r="M123" s="60"/>
      <c r="N123" s="61"/>
      <c r="O123" s="60"/>
      <c r="P123" s="62">
        <f>56269/100*$O$34</f>
        <v>56269.000000000007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43"/>
      <c r="AN123" s="43"/>
      <c r="AO123" s="43"/>
      <c r="AP123" s="43"/>
      <c r="AQ123" s="8" t="s">
        <v>58</v>
      </c>
      <c r="AR123" s="43"/>
      <c r="AS123" s="8"/>
      <c r="AT123" s="8"/>
      <c r="AU123" s="8"/>
      <c r="AV123" s="8"/>
      <c r="AW123" s="8"/>
      <c r="AX123" s="8"/>
      <c r="AY123" s="8"/>
      <c r="AZ123" s="8"/>
      <c r="BA123" s="8"/>
    </row>
    <row r="124" spans="1:53" s="22" customFormat="1" ht="15" x14ac:dyDescent="0.25">
      <c r="A124" s="57"/>
      <c r="B124" s="58" t="s">
        <v>100</v>
      </c>
      <c r="C124" s="223" t="s">
        <v>101</v>
      </c>
      <c r="D124" s="223"/>
      <c r="E124" s="223"/>
      <c r="F124" s="223"/>
      <c r="G124" s="223"/>
      <c r="H124" s="59" t="s">
        <v>61</v>
      </c>
      <c r="I124" s="63">
        <v>147</v>
      </c>
      <c r="J124" s="60"/>
      <c r="K124" s="63">
        <v>147</v>
      </c>
      <c r="L124" s="61"/>
      <c r="M124" s="60"/>
      <c r="N124" s="61"/>
      <c r="O124" s="60"/>
      <c r="P124" s="95">
        <f>P123*K124%</f>
        <v>82715.430000000008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43"/>
      <c r="AN124" s="43"/>
      <c r="AO124" s="43"/>
      <c r="AP124" s="43"/>
      <c r="AQ124" s="8" t="s">
        <v>101</v>
      </c>
      <c r="AR124" s="43"/>
      <c r="AS124" s="8"/>
      <c r="AT124" s="8"/>
      <c r="AU124" s="8"/>
      <c r="AV124" s="8"/>
      <c r="AW124" s="8"/>
      <c r="AX124" s="8"/>
      <c r="AY124" s="8"/>
      <c r="AZ124" s="8"/>
      <c r="BA124" s="8"/>
    </row>
    <row r="125" spans="1:53" s="22" customFormat="1" ht="15" x14ac:dyDescent="0.25">
      <c r="A125" s="57"/>
      <c r="B125" s="58" t="s">
        <v>102</v>
      </c>
      <c r="C125" s="223" t="s">
        <v>103</v>
      </c>
      <c r="D125" s="223"/>
      <c r="E125" s="223"/>
      <c r="F125" s="223"/>
      <c r="G125" s="223"/>
      <c r="H125" s="59" t="s">
        <v>61</v>
      </c>
      <c r="I125" s="63">
        <v>134</v>
      </c>
      <c r="J125" s="60"/>
      <c r="K125" s="63">
        <v>134</v>
      </c>
      <c r="L125" s="61"/>
      <c r="M125" s="60"/>
      <c r="N125" s="61"/>
      <c r="O125" s="60"/>
      <c r="P125" s="95">
        <f>P123*K125%</f>
        <v>75400.460000000021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43"/>
      <c r="AN125" s="43"/>
      <c r="AO125" s="43"/>
      <c r="AP125" s="43"/>
      <c r="AQ125" s="8" t="s">
        <v>103</v>
      </c>
      <c r="AR125" s="43"/>
      <c r="AS125" s="8"/>
      <c r="AT125" s="8"/>
      <c r="AU125" s="8"/>
      <c r="AV125" s="8"/>
      <c r="AW125" s="8"/>
      <c r="AX125" s="8"/>
      <c r="AY125" s="8"/>
      <c r="AZ125" s="8"/>
      <c r="BA125" s="8"/>
    </row>
    <row r="126" spans="1:53" s="22" customFormat="1" ht="15" x14ac:dyDescent="0.25">
      <c r="A126" s="64"/>
      <c r="B126" s="65"/>
      <c r="C126" s="222" t="s">
        <v>64</v>
      </c>
      <c r="D126" s="222"/>
      <c r="E126" s="222"/>
      <c r="F126" s="222"/>
      <c r="G126" s="222"/>
      <c r="H126" s="46"/>
      <c r="I126" s="47"/>
      <c r="J126" s="47"/>
      <c r="K126" s="47"/>
      <c r="L126" s="50"/>
      <c r="M126" s="47"/>
      <c r="N126" s="54">
        <v>20535.71</v>
      </c>
      <c r="O126" s="47"/>
      <c r="P126" s="96">
        <f>P122+P124+P125</f>
        <v>301875.89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43"/>
      <c r="AN126" s="43"/>
      <c r="AO126" s="43"/>
      <c r="AP126" s="43"/>
      <c r="AQ126" s="8"/>
      <c r="AR126" s="43" t="s">
        <v>64</v>
      </c>
      <c r="AS126" s="8"/>
      <c r="AT126" s="8"/>
      <c r="AU126" s="8"/>
      <c r="AV126" s="8"/>
      <c r="AW126" s="8"/>
      <c r="AX126" s="8"/>
      <c r="AY126" s="8"/>
      <c r="AZ126" s="8"/>
      <c r="BA126" s="8"/>
    </row>
    <row r="127" spans="1:53" s="22" customFormat="1" ht="34.5" x14ac:dyDescent="0.25">
      <c r="A127" s="44" t="s">
        <v>189</v>
      </c>
      <c r="B127" s="45" t="s">
        <v>207</v>
      </c>
      <c r="C127" s="224" t="s">
        <v>208</v>
      </c>
      <c r="D127" s="224"/>
      <c r="E127" s="224"/>
      <c r="F127" s="224"/>
      <c r="G127" s="224"/>
      <c r="H127" s="46" t="s">
        <v>107</v>
      </c>
      <c r="I127" s="47">
        <f>1470/100*$O$34</f>
        <v>1470</v>
      </c>
      <c r="J127" s="48">
        <v>1</v>
      </c>
      <c r="K127" s="48">
        <v>1470</v>
      </c>
      <c r="L127" s="68">
        <v>185.23</v>
      </c>
      <c r="M127" s="49">
        <v>1.07</v>
      </c>
      <c r="N127" s="68">
        <v>198.2</v>
      </c>
      <c r="O127" s="47"/>
      <c r="P127" s="96">
        <f>N127*I127</f>
        <v>291354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43"/>
      <c r="AN127" s="43"/>
      <c r="AO127" s="43" t="s">
        <v>208</v>
      </c>
      <c r="AP127" s="43"/>
      <c r="AQ127" s="8"/>
      <c r="AR127" s="43"/>
      <c r="AS127" s="8"/>
      <c r="AT127" s="8"/>
      <c r="AU127" s="8"/>
      <c r="AV127" s="8"/>
      <c r="AW127" s="8"/>
      <c r="AX127" s="8"/>
      <c r="AY127" s="8"/>
      <c r="AZ127" s="8"/>
      <c r="BA127" s="8"/>
    </row>
    <row r="128" spans="1:53" s="22" customFormat="1" ht="15" x14ac:dyDescent="0.25">
      <c r="A128" s="64"/>
      <c r="B128" s="65"/>
      <c r="C128" s="222" t="s">
        <v>64</v>
      </c>
      <c r="D128" s="222"/>
      <c r="E128" s="222"/>
      <c r="F128" s="222"/>
      <c r="G128" s="222"/>
      <c r="H128" s="46"/>
      <c r="I128" s="47"/>
      <c r="J128" s="47"/>
      <c r="K128" s="47"/>
      <c r="L128" s="50"/>
      <c r="M128" s="47"/>
      <c r="N128" s="50"/>
      <c r="O128" s="47"/>
      <c r="P128" s="96">
        <f>P127</f>
        <v>291354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43"/>
      <c r="AN128" s="43"/>
      <c r="AO128" s="43"/>
      <c r="AP128" s="43"/>
      <c r="AQ128" s="8"/>
      <c r="AR128" s="43" t="s">
        <v>64</v>
      </c>
      <c r="AS128" s="8"/>
      <c r="AT128" s="8"/>
      <c r="AU128" s="8"/>
      <c r="AV128" s="8"/>
      <c r="AW128" s="8"/>
      <c r="AX128" s="8"/>
      <c r="AY128" s="8"/>
      <c r="AZ128" s="8"/>
      <c r="BA128" s="8"/>
    </row>
    <row r="129" spans="1:53" s="22" customFormat="1" ht="23.25" x14ac:dyDescent="0.25">
      <c r="A129" s="44" t="s">
        <v>190</v>
      </c>
      <c r="B129" s="45" t="s">
        <v>209</v>
      </c>
      <c r="C129" s="224" t="s">
        <v>210</v>
      </c>
      <c r="D129" s="224"/>
      <c r="E129" s="224"/>
      <c r="F129" s="224"/>
      <c r="G129" s="224"/>
      <c r="H129" s="46" t="s">
        <v>96</v>
      </c>
      <c r="I129" s="47">
        <f>119/100*$O$34</f>
        <v>119</v>
      </c>
      <c r="J129" s="48">
        <v>1</v>
      </c>
      <c r="K129" s="48">
        <v>119</v>
      </c>
      <c r="L129" s="54">
        <v>1839.35</v>
      </c>
      <c r="M129" s="49">
        <v>1.25</v>
      </c>
      <c r="N129" s="54">
        <v>2299.19</v>
      </c>
      <c r="O129" s="47"/>
      <c r="P129" s="96">
        <f>N129*I129</f>
        <v>273603.61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43"/>
      <c r="AN129" s="43"/>
      <c r="AO129" s="43" t="s">
        <v>210</v>
      </c>
      <c r="AP129" s="43"/>
      <c r="AQ129" s="8"/>
      <c r="AR129" s="43"/>
      <c r="AS129" s="8"/>
      <c r="AT129" s="8"/>
      <c r="AU129" s="8"/>
      <c r="AV129" s="8"/>
      <c r="AW129" s="8"/>
      <c r="AX129" s="8"/>
      <c r="AY129" s="8"/>
      <c r="AZ129" s="8"/>
      <c r="BA129" s="8"/>
    </row>
    <row r="130" spans="1:53" s="22" customFormat="1" ht="15" x14ac:dyDescent="0.25">
      <c r="A130" s="64"/>
      <c r="B130" s="65"/>
      <c r="C130" s="222" t="s">
        <v>64</v>
      </c>
      <c r="D130" s="222"/>
      <c r="E130" s="222"/>
      <c r="F130" s="222"/>
      <c r="G130" s="222"/>
      <c r="H130" s="46"/>
      <c r="I130" s="47"/>
      <c r="J130" s="47"/>
      <c r="K130" s="47"/>
      <c r="L130" s="50"/>
      <c r="M130" s="47"/>
      <c r="N130" s="50"/>
      <c r="O130" s="47"/>
      <c r="P130" s="96">
        <f>P129</f>
        <v>273603.61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43"/>
      <c r="AN130" s="43"/>
      <c r="AO130" s="43"/>
      <c r="AP130" s="43"/>
      <c r="AQ130" s="8"/>
      <c r="AR130" s="43" t="s">
        <v>64</v>
      </c>
      <c r="AS130" s="8"/>
      <c r="AT130" s="8"/>
      <c r="AU130" s="8"/>
      <c r="AV130" s="8"/>
      <c r="AW130" s="8"/>
      <c r="AX130" s="8"/>
      <c r="AY130" s="8"/>
      <c r="AZ130" s="8"/>
      <c r="BA130" s="8"/>
    </row>
    <row r="131" spans="1:53" s="22" customFormat="1" ht="15" x14ac:dyDescent="0.25">
      <c r="A131" s="44" t="s">
        <v>200</v>
      </c>
      <c r="B131" s="45" t="s">
        <v>131</v>
      </c>
      <c r="C131" s="224" t="s">
        <v>211</v>
      </c>
      <c r="D131" s="224"/>
      <c r="E131" s="224"/>
      <c r="F131" s="224"/>
      <c r="G131" s="224"/>
      <c r="H131" s="46" t="s">
        <v>96</v>
      </c>
      <c r="I131" s="47">
        <f>53/100*$O$34</f>
        <v>53</v>
      </c>
      <c r="J131" s="48">
        <v>1</v>
      </c>
      <c r="K131" s="48">
        <v>53</v>
      </c>
      <c r="L131" s="50"/>
      <c r="M131" s="47"/>
      <c r="N131" s="50"/>
      <c r="O131" s="47"/>
      <c r="P131" s="51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43"/>
      <c r="AN131" s="43"/>
      <c r="AO131" s="43" t="s">
        <v>211</v>
      </c>
      <c r="AP131" s="43"/>
      <c r="AQ131" s="8"/>
      <c r="AR131" s="43"/>
      <c r="AS131" s="8"/>
      <c r="AT131" s="8"/>
      <c r="AU131" s="8"/>
      <c r="AV131" s="8"/>
      <c r="AW131" s="8"/>
      <c r="AX131" s="8"/>
      <c r="AY131" s="8"/>
      <c r="AZ131" s="8"/>
      <c r="BA131" s="8"/>
    </row>
    <row r="132" spans="1:53" s="22" customFormat="1" ht="15" x14ac:dyDescent="0.25">
      <c r="A132" s="52"/>
      <c r="B132" s="53"/>
      <c r="C132" s="222" t="s">
        <v>57</v>
      </c>
      <c r="D132" s="222"/>
      <c r="E132" s="222"/>
      <c r="F132" s="222"/>
      <c r="G132" s="222"/>
      <c r="H132" s="46"/>
      <c r="I132" s="47"/>
      <c r="J132" s="47"/>
      <c r="K132" s="47"/>
      <c r="L132" s="50"/>
      <c r="M132" s="47"/>
      <c r="N132" s="54"/>
      <c r="O132" s="47"/>
      <c r="P132" s="55">
        <f>21826/100*$O$34</f>
        <v>21826</v>
      </c>
      <c r="Q132" s="56"/>
      <c r="R132" s="56"/>
      <c r="S132" s="4"/>
      <c r="T132" s="4"/>
      <c r="U132" s="4"/>
      <c r="V132" s="4"/>
      <c r="W132" s="4"/>
      <c r="X132" s="4"/>
      <c r="Y132" s="4"/>
      <c r="Z132" s="4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43"/>
      <c r="AN132" s="43"/>
      <c r="AO132" s="43"/>
      <c r="AP132" s="43" t="s">
        <v>57</v>
      </c>
      <c r="AQ132" s="8"/>
      <c r="AR132" s="43"/>
      <c r="AS132" s="8"/>
      <c r="AT132" s="8"/>
      <c r="AU132" s="8"/>
      <c r="AV132" s="8"/>
      <c r="AW132" s="8"/>
      <c r="AX132" s="8"/>
      <c r="AY132" s="8"/>
      <c r="AZ132" s="8"/>
      <c r="BA132" s="8"/>
    </row>
    <row r="133" spans="1:53" s="22" customFormat="1" ht="15" x14ac:dyDescent="0.25">
      <c r="A133" s="57"/>
      <c r="B133" s="58"/>
      <c r="C133" s="223" t="s">
        <v>58</v>
      </c>
      <c r="D133" s="223"/>
      <c r="E133" s="223"/>
      <c r="F133" s="223"/>
      <c r="G133" s="223"/>
      <c r="H133" s="59"/>
      <c r="I133" s="60"/>
      <c r="J133" s="60"/>
      <c r="K133" s="60"/>
      <c r="L133" s="61"/>
      <c r="M133" s="60"/>
      <c r="N133" s="61"/>
      <c r="O133" s="60"/>
      <c r="P133" s="62">
        <f>16603/100*$O$34</f>
        <v>16603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43"/>
      <c r="AN133" s="43"/>
      <c r="AO133" s="43"/>
      <c r="AP133" s="43"/>
      <c r="AQ133" s="8" t="s">
        <v>58</v>
      </c>
      <c r="AR133" s="43"/>
      <c r="AS133" s="8"/>
      <c r="AT133" s="8"/>
      <c r="AU133" s="8"/>
      <c r="AV133" s="8"/>
      <c r="AW133" s="8"/>
      <c r="AX133" s="8"/>
      <c r="AY133" s="8"/>
      <c r="AZ133" s="8"/>
      <c r="BA133" s="8"/>
    </row>
    <row r="134" spans="1:53" s="22" customFormat="1" ht="15" x14ac:dyDescent="0.25">
      <c r="A134" s="57"/>
      <c r="B134" s="58" t="s">
        <v>133</v>
      </c>
      <c r="C134" s="223" t="s">
        <v>134</v>
      </c>
      <c r="D134" s="223"/>
      <c r="E134" s="223"/>
      <c r="F134" s="223"/>
      <c r="G134" s="223"/>
      <c r="H134" s="59" t="s">
        <v>61</v>
      </c>
      <c r="I134" s="63">
        <v>110</v>
      </c>
      <c r="J134" s="60"/>
      <c r="K134" s="63">
        <v>110</v>
      </c>
      <c r="L134" s="61"/>
      <c r="M134" s="60"/>
      <c r="N134" s="61"/>
      <c r="O134" s="60"/>
      <c r="P134" s="95">
        <f>P133*K134%</f>
        <v>18263.300000000003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43"/>
      <c r="AN134" s="43"/>
      <c r="AO134" s="43"/>
      <c r="AP134" s="43"/>
      <c r="AQ134" s="8" t="s">
        <v>134</v>
      </c>
      <c r="AR134" s="43"/>
      <c r="AS134" s="8"/>
      <c r="AT134" s="8"/>
      <c r="AU134" s="8"/>
      <c r="AV134" s="8"/>
      <c r="AW134" s="8"/>
      <c r="AX134" s="8"/>
      <c r="AY134" s="8"/>
      <c r="AZ134" s="8"/>
      <c r="BA134" s="8"/>
    </row>
    <row r="135" spans="1:53" s="22" customFormat="1" ht="15" x14ac:dyDescent="0.25">
      <c r="A135" s="57"/>
      <c r="B135" s="58" t="s">
        <v>135</v>
      </c>
      <c r="C135" s="223" t="s">
        <v>136</v>
      </c>
      <c r="D135" s="223"/>
      <c r="E135" s="223"/>
      <c r="F135" s="223"/>
      <c r="G135" s="223"/>
      <c r="H135" s="59" t="s">
        <v>61</v>
      </c>
      <c r="I135" s="63">
        <v>69</v>
      </c>
      <c r="J135" s="60"/>
      <c r="K135" s="63">
        <v>69</v>
      </c>
      <c r="L135" s="61"/>
      <c r="M135" s="60"/>
      <c r="N135" s="61"/>
      <c r="O135" s="60"/>
      <c r="P135" s="95">
        <f>P133*K135%</f>
        <v>11456.07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43"/>
      <c r="AN135" s="43"/>
      <c r="AO135" s="43"/>
      <c r="AP135" s="43"/>
      <c r="AQ135" s="8" t="s">
        <v>136</v>
      </c>
      <c r="AR135" s="43"/>
      <c r="AS135" s="8"/>
      <c r="AT135" s="8"/>
      <c r="AU135" s="8"/>
      <c r="AV135" s="8"/>
      <c r="AW135" s="8"/>
      <c r="AX135" s="8"/>
      <c r="AY135" s="8"/>
      <c r="AZ135" s="8"/>
      <c r="BA135" s="8"/>
    </row>
    <row r="136" spans="1:53" s="22" customFormat="1" ht="15" x14ac:dyDescent="0.25">
      <c r="A136" s="64"/>
      <c r="B136" s="65"/>
      <c r="C136" s="222" t="s">
        <v>64</v>
      </c>
      <c r="D136" s="222"/>
      <c r="E136" s="222"/>
      <c r="F136" s="222"/>
      <c r="G136" s="222"/>
      <c r="H136" s="46"/>
      <c r="I136" s="47"/>
      <c r="J136" s="47"/>
      <c r="K136" s="47"/>
      <c r="L136" s="50"/>
      <c r="M136" s="47"/>
      <c r="N136" s="68">
        <v>972.55</v>
      </c>
      <c r="O136" s="47"/>
      <c r="P136" s="96">
        <f>P132+P134+P135</f>
        <v>51545.37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43"/>
      <c r="AN136" s="43"/>
      <c r="AO136" s="43"/>
      <c r="AP136" s="43"/>
      <c r="AQ136" s="8"/>
      <c r="AR136" s="43" t="s">
        <v>64</v>
      </c>
      <c r="AS136" s="8"/>
      <c r="AT136" s="8"/>
      <c r="AU136" s="8"/>
      <c r="AV136" s="8"/>
      <c r="AW136" s="8"/>
      <c r="AX136" s="8"/>
      <c r="AY136" s="8"/>
      <c r="AZ136" s="8"/>
      <c r="BA136" s="8"/>
    </row>
    <row r="137" spans="1:53" s="22" customFormat="1" ht="23.25" x14ac:dyDescent="0.25">
      <c r="A137" s="44" t="s">
        <v>212</v>
      </c>
      <c r="B137" s="45" t="s">
        <v>213</v>
      </c>
      <c r="C137" s="224" t="s">
        <v>214</v>
      </c>
      <c r="D137" s="224"/>
      <c r="E137" s="224"/>
      <c r="F137" s="224"/>
      <c r="G137" s="224"/>
      <c r="H137" s="46" t="s">
        <v>96</v>
      </c>
      <c r="I137" s="47">
        <f>60.95/100*$O$34</f>
        <v>60.95</v>
      </c>
      <c r="J137" s="48">
        <v>1</v>
      </c>
      <c r="K137" s="49">
        <v>60.95</v>
      </c>
      <c r="L137" s="54">
        <v>1839.35</v>
      </c>
      <c r="M137" s="49">
        <v>1.25</v>
      </c>
      <c r="N137" s="54">
        <v>2299.19</v>
      </c>
      <c r="O137" s="47"/>
      <c r="P137" s="96">
        <f>N137*I137</f>
        <v>140135.6305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43"/>
      <c r="AN137" s="43"/>
      <c r="AO137" s="43" t="s">
        <v>214</v>
      </c>
      <c r="AP137" s="43"/>
      <c r="AQ137" s="8"/>
      <c r="AR137" s="43"/>
      <c r="AS137" s="8"/>
      <c r="AT137" s="8"/>
      <c r="AU137" s="8"/>
      <c r="AV137" s="8"/>
      <c r="AW137" s="8"/>
      <c r="AX137" s="8"/>
      <c r="AY137" s="8"/>
      <c r="AZ137" s="8"/>
      <c r="BA137" s="8"/>
    </row>
    <row r="138" spans="1:53" s="22" customFormat="1" ht="15" x14ac:dyDescent="0.25">
      <c r="A138" s="64"/>
      <c r="B138" s="65"/>
      <c r="C138" s="222" t="s">
        <v>64</v>
      </c>
      <c r="D138" s="222"/>
      <c r="E138" s="222"/>
      <c r="F138" s="222"/>
      <c r="G138" s="222"/>
      <c r="H138" s="46"/>
      <c r="I138" s="47"/>
      <c r="J138" s="47"/>
      <c r="K138" s="47"/>
      <c r="L138" s="50"/>
      <c r="M138" s="47"/>
      <c r="N138" s="50"/>
      <c r="O138" s="47"/>
      <c r="P138" s="96">
        <f>P137</f>
        <v>140135.6305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43"/>
      <c r="AN138" s="43"/>
      <c r="AO138" s="43"/>
      <c r="AP138" s="43"/>
      <c r="AQ138" s="8"/>
      <c r="AR138" s="43" t="s">
        <v>64</v>
      </c>
      <c r="AS138" s="8"/>
      <c r="AT138" s="8"/>
      <c r="AU138" s="8"/>
      <c r="AV138" s="8"/>
      <c r="AW138" s="8"/>
      <c r="AX138" s="8"/>
      <c r="AY138" s="8"/>
      <c r="AZ138" s="8"/>
      <c r="BA138" s="8"/>
    </row>
    <row r="139" spans="1:53" s="22" customFormat="1" ht="0" hidden="1" customHeight="1" x14ac:dyDescent="0.25">
      <c r="A139" s="71"/>
      <c r="B139" s="72"/>
      <c r="C139" s="72"/>
      <c r="D139" s="72"/>
      <c r="E139" s="72"/>
      <c r="F139" s="73"/>
      <c r="G139" s="73"/>
      <c r="H139" s="73"/>
      <c r="I139" s="73"/>
      <c r="J139" s="74"/>
      <c r="K139" s="73"/>
      <c r="L139" s="73"/>
      <c r="M139" s="73"/>
      <c r="N139" s="74"/>
      <c r="O139" s="75"/>
      <c r="P139" s="7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43"/>
      <c r="AN139" s="43"/>
      <c r="AO139" s="43"/>
      <c r="AP139" s="43"/>
      <c r="AQ139" s="8"/>
      <c r="AR139" s="43"/>
      <c r="AS139" s="8"/>
      <c r="AT139" s="8"/>
      <c r="AU139" s="8"/>
      <c r="AV139" s="8"/>
      <c r="AW139" s="8"/>
      <c r="AX139" s="8"/>
      <c r="AY139" s="8"/>
      <c r="AZ139" s="8"/>
      <c r="BA139" s="8"/>
    </row>
    <row r="140" spans="1:53" s="22" customFormat="1" ht="15" x14ac:dyDescent="0.25">
      <c r="A140" s="52"/>
      <c r="B140" s="76"/>
      <c r="C140" s="221" t="s">
        <v>140</v>
      </c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77"/>
      <c r="Q140" s="2"/>
      <c r="R140" s="2"/>
      <c r="S140" s="4"/>
      <c r="T140" s="4"/>
      <c r="U140" s="4"/>
      <c r="V140" s="4"/>
      <c r="W140" s="4"/>
      <c r="X140" s="4"/>
      <c r="Y140" s="4"/>
      <c r="Z140" s="4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43" t="s">
        <v>140</v>
      </c>
      <c r="AT140" s="8"/>
      <c r="AU140" s="8"/>
      <c r="AV140" s="8"/>
      <c r="AW140" s="8"/>
      <c r="AX140" s="8"/>
      <c r="AY140" s="8"/>
      <c r="AZ140" s="8"/>
      <c r="BA140" s="8"/>
    </row>
    <row r="141" spans="1:53" s="22" customFormat="1" ht="15" x14ac:dyDescent="0.25">
      <c r="A141" s="52"/>
      <c r="B141" s="53"/>
      <c r="C141" s="217" t="s">
        <v>141</v>
      </c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  <c r="N141" s="217"/>
      <c r="O141" s="217"/>
      <c r="P141" s="78">
        <f>1392899/100*$O$34</f>
        <v>1392899</v>
      </c>
      <c r="Q141" s="2"/>
      <c r="R141" s="2"/>
      <c r="S141" s="4"/>
      <c r="T141" s="4"/>
      <c r="U141" s="4"/>
      <c r="V141" s="4"/>
      <c r="W141" s="4"/>
      <c r="X141" s="4"/>
      <c r="Y141" s="4"/>
      <c r="Z141" s="4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43"/>
      <c r="AT141" s="3" t="s">
        <v>141</v>
      </c>
      <c r="AU141" s="8"/>
      <c r="AV141" s="8"/>
      <c r="AW141" s="8"/>
      <c r="AX141" s="8"/>
      <c r="AY141" s="8"/>
      <c r="AZ141" s="8"/>
      <c r="BA141" s="8"/>
    </row>
    <row r="142" spans="1:53" s="22" customFormat="1" ht="15" x14ac:dyDescent="0.25">
      <c r="A142" s="52"/>
      <c r="B142" s="53"/>
      <c r="C142" s="217" t="s">
        <v>142</v>
      </c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  <c r="P142" s="78">
        <f>1774920/100*$O$34</f>
        <v>1774920</v>
      </c>
      <c r="Q142" s="2"/>
      <c r="R142" s="2"/>
      <c r="S142" s="4"/>
      <c r="T142" s="4"/>
      <c r="U142" s="4"/>
      <c r="V142" s="4"/>
      <c r="W142" s="4"/>
      <c r="X142" s="4"/>
      <c r="Y142" s="4"/>
      <c r="Z142" s="4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43"/>
      <c r="AT142" s="3" t="s">
        <v>142</v>
      </c>
      <c r="AU142" s="8"/>
      <c r="AV142" s="8"/>
      <c r="AW142" s="8"/>
      <c r="AX142" s="8"/>
      <c r="AY142" s="8"/>
      <c r="AZ142" s="8"/>
      <c r="BA142" s="8"/>
    </row>
    <row r="143" spans="1:53" s="22" customFormat="1" ht="15" x14ac:dyDescent="0.25">
      <c r="A143" s="52"/>
      <c r="B143" s="53"/>
      <c r="C143" s="217" t="s">
        <v>144</v>
      </c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  <c r="P143" s="78">
        <f>P43+P49+P55+P61+P68+P74+P81+P91+P99+P107+P115+P123+P133</f>
        <v>193299</v>
      </c>
      <c r="Q143" s="2"/>
      <c r="R143" s="2"/>
      <c r="S143" s="4"/>
      <c r="T143" s="4"/>
      <c r="U143" s="4"/>
      <c r="V143" s="4"/>
      <c r="W143" s="4"/>
      <c r="X143" s="4"/>
      <c r="Y143" s="4"/>
      <c r="Z143" s="4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43"/>
      <c r="AT143" s="3" t="s">
        <v>144</v>
      </c>
      <c r="AU143" s="8"/>
      <c r="AV143" s="8"/>
      <c r="AW143" s="8"/>
      <c r="AX143" s="8"/>
      <c r="AY143" s="8"/>
      <c r="AZ143" s="8"/>
      <c r="BA143" s="8"/>
    </row>
    <row r="144" spans="1:53" s="22" customFormat="1" ht="15" x14ac:dyDescent="0.25">
      <c r="A144" s="52"/>
      <c r="B144" s="53"/>
      <c r="C144" s="217" t="s">
        <v>145</v>
      </c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  <c r="O144" s="217"/>
      <c r="P144" s="97">
        <f t="shared" ref="P144:P145" si="0">P44+P50+P56+P62+P69+P75+P82+P92+P100+P108+P116+P124+P134</f>
        <v>222932.61000000004</v>
      </c>
      <c r="Q144" s="2"/>
      <c r="R144" s="2"/>
      <c r="S144" s="4"/>
      <c r="T144" s="4"/>
      <c r="U144" s="4"/>
      <c r="V144" s="4"/>
      <c r="W144" s="4"/>
      <c r="X144" s="4"/>
      <c r="Y144" s="4"/>
      <c r="Z144" s="4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43"/>
      <c r="AT144" s="3" t="s">
        <v>145</v>
      </c>
      <c r="AU144" s="8"/>
      <c r="AV144" s="8"/>
      <c r="AW144" s="8"/>
      <c r="AX144" s="8"/>
      <c r="AY144" s="8"/>
      <c r="AZ144" s="8"/>
      <c r="BA144" s="8"/>
    </row>
    <row r="145" spans="1:53" s="22" customFormat="1" ht="15" x14ac:dyDescent="0.25">
      <c r="A145" s="52"/>
      <c r="B145" s="53"/>
      <c r="C145" s="217" t="s">
        <v>146</v>
      </c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  <c r="N145" s="217"/>
      <c r="O145" s="217"/>
      <c r="P145" s="97">
        <f t="shared" si="0"/>
        <v>159089.21000000002</v>
      </c>
      <c r="Q145" s="2"/>
      <c r="R145" s="2"/>
      <c r="S145" s="4"/>
      <c r="T145" s="4"/>
      <c r="U145" s="4"/>
      <c r="V145" s="4"/>
      <c r="W145" s="4"/>
      <c r="X145" s="4"/>
      <c r="Y145" s="4"/>
      <c r="Z145" s="4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43"/>
      <c r="AT145" s="3" t="s">
        <v>146</v>
      </c>
      <c r="AU145" s="8"/>
      <c r="AV145" s="8"/>
      <c r="AW145" s="8"/>
      <c r="AX145" s="8"/>
      <c r="AY145" s="8"/>
      <c r="AZ145" s="8"/>
      <c r="BA145" s="8"/>
    </row>
    <row r="146" spans="1:53" s="22" customFormat="1" ht="15" x14ac:dyDescent="0.25">
      <c r="A146" s="52"/>
      <c r="B146" s="76"/>
      <c r="C146" s="221" t="s">
        <v>147</v>
      </c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79">
        <f>P141+P144+P145</f>
        <v>1774920.82</v>
      </c>
      <c r="Q146" s="2"/>
      <c r="R146" s="2"/>
      <c r="S146" s="4"/>
      <c r="T146" s="4"/>
      <c r="U146" s="4"/>
      <c r="V146" s="4"/>
      <c r="W146" s="4"/>
      <c r="X146" s="4"/>
      <c r="Y146" s="4"/>
      <c r="Z146" s="4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43"/>
      <c r="AT146" s="3"/>
      <c r="AU146" s="43" t="s">
        <v>147</v>
      </c>
      <c r="AV146" s="8"/>
      <c r="AW146" s="8"/>
      <c r="AX146" s="8"/>
      <c r="AY146" s="8"/>
      <c r="AZ146" s="8"/>
      <c r="BA146" s="8"/>
    </row>
    <row r="147" spans="1:53" s="22" customFormat="1" ht="15" x14ac:dyDescent="0.25">
      <c r="A147" s="52"/>
      <c r="B147" s="76"/>
      <c r="C147" s="221" t="s">
        <v>148</v>
      </c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  <c r="P147" s="80"/>
      <c r="Q147" s="2"/>
      <c r="R147" s="2"/>
      <c r="S147" s="4"/>
      <c r="T147" s="4"/>
      <c r="U147" s="4"/>
      <c r="V147" s="4"/>
      <c r="W147" s="4"/>
      <c r="X147" s="4"/>
      <c r="Y147" s="4"/>
      <c r="Z147" s="4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43" t="s">
        <v>148</v>
      </c>
      <c r="AW147" s="8"/>
      <c r="AX147" s="8"/>
      <c r="AY147" s="8"/>
      <c r="AZ147" s="8"/>
      <c r="BA147" s="8"/>
    </row>
    <row r="148" spans="1:53" s="22" customFormat="1" ht="15" x14ac:dyDescent="0.25">
      <c r="A148" s="52"/>
      <c r="B148" s="76"/>
      <c r="C148" s="220" t="s">
        <v>150</v>
      </c>
      <c r="D148" s="220"/>
      <c r="E148" s="220"/>
      <c r="F148" s="220"/>
      <c r="G148" s="220"/>
      <c r="H148" s="220"/>
      <c r="I148" s="220"/>
      <c r="J148" s="220"/>
      <c r="K148" s="83">
        <f>492.22891/100*$O$34</f>
        <v>492.22890999999993</v>
      </c>
      <c r="L148" s="220"/>
      <c r="M148" s="220"/>
      <c r="N148" s="220"/>
      <c r="O148" s="220"/>
      <c r="P148" s="82"/>
      <c r="Q148" s="2"/>
      <c r="R148" s="2"/>
      <c r="S148" s="4"/>
      <c r="T148" s="4"/>
      <c r="U148" s="4"/>
      <c r="V148" s="4"/>
      <c r="W148" s="4"/>
      <c r="X148" s="4"/>
      <c r="Y148" s="4"/>
      <c r="Z148" s="4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43"/>
      <c r="AW148" s="3" t="s">
        <v>150</v>
      </c>
      <c r="AX148" s="8"/>
      <c r="AY148" s="8"/>
      <c r="AZ148" s="8"/>
      <c r="BA148" s="8"/>
    </row>
    <row r="149" spans="1:53" s="22" customFormat="1" ht="15" x14ac:dyDescent="0.25">
      <c r="A149" s="52"/>
      <c r="B149" s="76"/>
      <c r="C149" s="220" t="s">
        <v>151</v>
      </c>
      <c r="D149" s="220"/>
      <c r="E149" s="220"/>
      <c r="F149" s="220"/>
      <c r="G149" s="220"/>
      <c r="H149" s="220"/>
      <c r="I149" s="220"/>
      <c r="J149" s="220"/>
      <c r="K149" s="81">
        <f>77.8858/100*$O$34</f>
        <v>77.885800000000003</v>
      </c>
      <c r="L149" s="220"/>
      <c r="M149" s="220"/>
      <c r="N149" s="220"/>
      <c r="O149" s="220"/>
      <c r="P149" s="82"/>
      <c r="Q149" s="2"/>
      <c r="R149" s="2"/>
      <c r="S149" s="4"/>
      <c r="T149" s="4"/>
      <c r="U149" s="4"/>
      <c r="V149" s="4"/>
      <c r="W149" s="4"/>
      <c r="X149" s="4"/>
      <c r="Y149" s="4"/>
      <c r="Z149" s="4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43"/>
      <c r="AW149" s="3" t="s">
        <v>151</v>
      </c>
      <c r="AX149" s="8"/>
      <c r="AY149" s="8"/>
      <c r="AZ149" s="8"/>
      <c r="BA149" s="8"/>
    </row>
    <row r="150" spans="1:53" s="22" customFormat="1" ht="11.25" hidden="1" customHeight="1" x14ac:dyDescent="0.2">
      <c r="A150" s="5"/>
      <c r="B150" s="74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84"/>
      <c r="O150" s="85"/>
      <c r="P150" s="86"/>
      <c r="Q150" s="2"/>
      <c r="R150" s="2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</row>
    <row r="151" spans="1:53" s="4" customFormat="1" ht="26.25" customHeight="1" x14ac:dyDescent="0.25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</row>
    <row r="152" spans="1:53" s="22" customFormat="1" ht="15" x14ac:dyDescent="0.25">
      <c r="A152" s="7"/>
      <c r="B152" s="88" t="s">
        <v>152</v>
      </c>
      <c r="C152" s="218"/>
      <c r="D152" s="218"/>
      <c r="E152" s="218"/>
      <c r="F152" s="218"/>
      <c r="G152" s="218"/>
      <c r="H152" s="218"/>
      <c r="I152" s="219"/>
      <c r="J152" s="219"/>
      <c r="K152" s="219"/>
      <c r="L152" s="219"/>
      <c r="M152" s="219"/>
      <c r="N152" s="219"/>
      <c r="O152" s="4"/>
      <c r="P152" s="4"/>
      <c r="Q152" s="2"/>
      <c r="R152" s="2"/>
      <c r="S152" s="4"/>
      <c r="T152" s="4"/>
      <c r="U152" s="4"/>
      <c r="V152" s="4"/>
      <c r="W152" s="4"/>
      <c r="X152" s="4"/>
      <c r="Y152" s="4"/>
      <c r="Z152" s="4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 t="s">
        <v>9</v>
      </c>
      <c r="AY152" s="8" t="s">
        <v>9</v>
      </c>
      <c r="AZ152" s="8"/>
      <c r="BA152" s="8"/>
    </row>
    <row r="153" spans="1:53" s="89" customFormat="1" ht="16.5" customHeight="1" x14ac:dyDescent="0.25">
      <c r="A153" s="12"/>
      <c r="B153" s="88"/>
      <c r="C153" s="214" t="s">
        <v>153</v>
      </c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Q153" s="90"/>
      <c r="R153" s="90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</row>
    <row r="154" spans="1:53" s="22" customFormat="1" ht="15" x14ac:dyDescent="0.25">
      <c r="A154" s="7"/>
      <c r="B154" s="88" t="s">
        <v>154</v>
      </c>
      <c r="C154" s="218"/>
      <c r="D154" s="218"/>
      <c r="E154" s="218"/>
      <c r="F154" s="218"/>
      <c r="G154" s="218"/>
      <c r="H154" s="218"/>
      <c r="I154" s="219"/>
      <c r="J154" s="219"/>
      <c r="K154" s="219"/>
      <c r="L154" s="219"/>
      <c r="M154" s="219"/>
      <c r="N154" s="219"/>
      <c r="O154" s="4"/>
      <c r="P154" s="4"/>
      <c r="Q154" s="2"/>
      <c r="R154" s="2"/>
      <c r="S154" s="4"/>
      <c r="T154" s="4"/>
      <c r="U154" s="4"/>
      <c r="V154" s="4"/>
      <c r="W154" s="4"/>
      <c r="X154" s="4"/>
      <c r="Y154" s="4"/>
      <c r="Z154" s="4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 t="s">
        <v>9</v>
      </c>
      <c r="BA154" s="8" t="s">
        <v>9</v>
      </c>
    </row>
    <row r="155" spans="1:53" s="89" customFormat="1" ht="16.5" customHeight="1" x14ac:dyDescent="0.25">
      <c r="A155" s="12"/>
      <c r="C155" s="214" t="s">
        <v>153</v>
      </c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Q155" s="90"/>
      <c r="R155" s="90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</row>
    <row r="156" spans="1:53" s="4" customFormat="1" ht="12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53" s="4" customFormat="1" ht="26.25" customHeight="1" x14ac:dyDescent="0.25">
      <c r="A157" s="215" t="s">
        <v>155</v>
      </c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</row>
    <row r="158" spans="1:53" s="4" customFormat="1" ht="17.25" customHeight="1" x14ac:dyDescent="0.25">
      <c r="A158" s="217" t="s">
        <v>156</v>
      </c>
      <c r="B158" s="217"/>
      <c r="C158" s="217"/>
      <c r="D158" s="217"/>
      <c r="E158" s="217"/>
      <c r="F158" s="217"/>
      <c r="G158" s="217"/>
      <c r="H158" s="217"/>
      <c r="I158" s="217"/>
      <c r="J158" s="217"/>
      <c r="K158" s="217"/>
      <c r="L158" s="217"/>
      <c r="M158" s="217"/>
      <c r="N158" s="217"/>
      <c r="O158" s="217"/>
      <c r="P158" s="217"/>
    </row>
    <row r="159" spans="1:53" s="4" customFormat="1" ht="17.25" customHeight="1" x14ac:dyDescent="0.25">
      <c r="A159" s="217" t="s">
        <v>157</v>
      </c>
      <c r="B159" s="217"/>
      <c r="C159" s="217"/>
      <c r="D159" s="217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</row>
    <row r="160" spans="1:53" s="4" customFormat="1" ht="13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" s="4" customFormat="1" ht="15" x14ac:dyDescent="0.25">
      <c r="A161" s="5"/>
    </row>
    <row r="162" spans="1:1" s="4" customFormat="1" ht="15" x14ac:dyDescent="0.25">
      <c r="A162" s="5"/>
    </row>
    <row r="163" spans="1:1" s="4" customFormat="1" ht="15" x14ac:dyDescent="0.25">
      <c r="A163" s="5"/>
    </row>
    <row r="164" spans="1:1" s="4" customFormat="1" ht="15" x14ac:dyDescent="0.25">
      <c r="A164" s="5"/>
    </row>
    <row r="165" spans="1:1" s="4" customFormat="1" ht="15" x14ac:dyDescent="0.25">
      <c r="A165" s="5"/>
    </row>
    <row r="166" spans="1:1" s="4" customFormat="1" ht="15" x14ac:dyDescent="0.25">
      <c r="A166" s="5"/>
    </row>
    <row r="167" spans="1:1" s="4" customFormat="1" ht="15" x14ac:dyDescent="0.25">
      <c r="A167" s="5"/>
    </row>
    <row r="168" spans="1:1" s="4" customFormat="1" ht="15" x14ac:dyDescent="0.25">
      <c r="A168" s="5"/>
    </row>
    <row r="169" spans="1:1" s="4" customFormat="1" ht="15" x14ac:dyDescent="0.25">
      <c r="A169" s="5"/>
    </row>
    <row r="170" spans="1:1" s="4" customFormat="1" ht="15" x14ac:dyDescent="0.25">
      <c r="A170" s="5"/>
    </row>
    <row r="171" spans="1:1" s="4" customFormat="1" ht="15" x14ac:dyDescent="0.25">
      <c r="A171" s="5"/>
    </row>
    <row r="172" spans="1:1" s="4" customFormat="1" ht="15" x14ac:dyDescent="0.25">
      <c r="A172" s="5"/>
    </row>
    <row r="173" spans="1:1" s="4" customFormat="1" ht="15" x14ac:dyDescent="0.25">
      <c r="A173" s="5"/>
    </row>
    <row r="174" spans="1:1" s="4" customFormat="1" ht="15" x14ac:dyDescent="0.25">
      <c r="A174" s="5"/>
    </row>
    <row r="175" spans="1:1" s="4" customFormat="1" ht="15" x14ac:dyDescent="0.25">
      <c r="A175" s="5"/>
    </row>
    <row r="176" spans="1:1" s="4" customFormat="1" ht="15" x14ac:dyDescent="0.25">
      <c r="A176" s="5"/>
    </row>
    <row r="177" spans="1:1" s="4" customFormat="1" ht="15" x14ac:dyDescent="0.25">
      <c r="A177" s="5"/>
    </row>
    <row r="178" spans="1:1" s="4" customFormat="1" ht="15" x14ac:dyDescent="0.25">
      <c r="A178" s="5"/>
    </row>
    <row r="179" spans="1:1" s="4" customFormat="1" ht="15" x14ac:dyDescent="0.25">
      <c r="A179" s="5"/>
    </row>
    <row r="180" spans="1:1" s="4" customFormat="1" ht="15" x14ac:dyDescent="0.25">
      <c r="A180" s="5"/>
    </row>
    <row r="181" spans="1:1" s="4" customFormat="1" ht="15" x14ac:dyDescent="0.25">
      <c r="A181" s="5"/>
    </row>
    <row r="182" spans="1:1" s="4" customFormat="1" ht="15" x14ac:dyDescent="0.25">
      <c r="A182" s="5"/>
    </row>
    <row r="183" spans="1:1" s="4" customFormat="1" ht="15" x14ac:dyDescent="0.25">
      <c r="A183" s="5"/>
    </row>
    <row r="184" spans="1:1" s="4" customFormat="1" ht="15" x14ac:dyDescent="0.25">
      <c r="A184" s="5"/>
    </row>
    <row r="185" spans="1:1" s="4" customFormat="1" ht="15" x14ac:dyDescent="0.25">
      <c r="A185" s="5"/>
    </row>
    <row r="186" spans="1:1" s="4" customFormat="1" ht="15" x14ac:dyDescent="0.25">
      <c r="A186" s="5"/>
    </row>
    <row r="187" spans="1:1" s="4" customFormat="1" ht="15" x14ac:dyDescent="0.25">
      <c r="A187" s="5"/>
    </row>
    <row r="188" spans="1:1" s="4" customFormat="1" ht="15" x14ac:dyDescent="0.25">
      <c r="A188" s="5"/>
    </row>
    <row r="189" spans="1:1" s="4" customFormat="1" ht="15" x14ac:dyDescent="0.25">
      <c r="A189" s="5"/>
    </row>
    <row r="190" spans="1:1" s="4" customFormat="1" ht="15" x14ac:dyDescent="0.25">
      <c r="A190" s="5"/>
    </row>
    <row r="191" spans="1:1" s="4" customFormat="1" ht="15" x14ac:dyDescent="0.25">
      <c r="A191" s="5"/>
    </row>
    <row r="192" spans="1:1" s="4" customFormat="1" ht="15" x14ac:dyDescent="0.25">
      <c r="A192" s="5"/>
    </row>
    <row r="193" spans="1:1" s="4" customFormat="1" ht="15" x14ac:dyDescent="0.25">
      <c r="A193" s="5"/>
    </row>
    <row r="194" spans="1:1" s="4" customFormat="1" ht="15" x14ac:dyDescent="0.25">
      <c r="A194" s="5"/>
    </row>
    <row r="195" spans="1:1" s="4" customFormat="1" ht="15" x14ac:dyDescent="0.25">
      <c r="A195" s="5"/>
    </row>
  </sheetData>
  <mergeCells count="154">
    <mergeCell ref="A7:F7"/>
    <mergeCell ref="G7:P7"/>
    <mergeCell ref="A8:F8"/>
    <mergeCell ref="G8:P8"/>
    <mergeCell ref="A9:F9"/>
    <mergeCell ref="G9:P9"/>
    <mergeCell ref="A4:F4"/>
    <mergeCell ref="G4:P4"/>
    <mergeCell ref="A5:F5"/>
    <mergeCell ref="G5:P5"/>
    <mergeCell ref="A6:F6"/>
    <mergeCell ref="G6:P6"/>
    <mergeCell ref="A14:P14"/>
    <mergeCell ref="A16:P16"/>
    <mergeCell ref="A17:P17"/>
    <mergeCell ref="A18:P18"/>
    <mergeCell ref="A20:P20"/>
    <mergeCell ref="A10:F10"/>
    <mergeCell ref="G10:P10"/>
    <mergeCell ref="A11:F11"/>
    <mergeCell ref="G11:P11"/>
    <mergeCell ref="A13:P13"/>
    <mergeCell ref="A21:P21"/>
    <mergeCell ref="B23:F23"/>
    <mergeCell ref="B24:F24"/>
    <mergeCell ref="C26:F26"/>
    <mergeCell ref="A35:A37"/>
    <mergeCell ref="B35:B37"/>
    <mergeCell ref="C35:G37"/>
    <mergeCell ref="H35:H37"/>
    <mergeCell ref="I35:K36"/>
    <mergeCell ref="L35:P36"/>
    <mergeCell ref="C43:G43"/>
    <mergeCell ref="C44:G44"/>
    <mergeCell ref="C45:G45"/>
    <mergeCell ref="C46:G46"/>
    <mergeCell ref="C47:G47"/>
    <mergeCell ref="C38:G38"/>
    <mergeCell ref="A39:P39"/>
    <mergeCell ref="A40:P40"/>
    <mergeCell ref="C41:G41"/>
    <mergeCell ref="C42:G42"/>
    <mergeCell ref="C53:G53"/>
    <mergeCell ref="C54:G54"/>
    <mergeCell ref="C55:G55"/>
    <mergeCell ref="C56:G56"/>
    <mergeCell ref="C57:G57"/>
    <mergeCell ref="C48:G48"/>
    <mergeCell ref="C49:G49"/>
    <mergeCell ref="C50:G50"/>
    <mergeCell ref="C51:G51"/>
    <mergeCell ref="C52:G52"/>
    <mergeCell ref="C63:G63"/>
    <mergeCell ref="C64:G64"/>
    <mergeCell ref="A65:P65"/>
    <mergeCell ref="C66:G66"/>
    <mergeCell ref="C67:G67"/>
    <mergeCell ref="C58:G58"/>
    <mergeCell ref="C59:G59"/>
    <mergeCell ref="C60:G60"/>
    <mergeCell ref="C61:G61"/>
    <mergeCell ref="C62:G62"/>
    <mergeCell ref="C73:G73"/>
    <mergeCell ref="C74:G74"/>
    <mergeCell ref="C75:G75"/>
    <mergeCell ref="C76:G76"/>
    <mergeCell ref="C77:G77"/>
    <mergeCell ref="C68:G68"/>
    <mergeCell ref="C69:G69"/>
    <mergeCell ref="C70:G70"/>
    <mergeCell ref="C71:G71"/>
    <mergeCell ref="C72:G72"/>
    <mergeCell ref="C83:G83"/>
    <mergeCell ref="C84:G84"/>
    <mergeCell ref="C85:G85"/>
    <mergeCell ref="C86:G86"/>
    <mergeCell ref="C87:G87"/>
    <mergeCell ref="A78:P78"/>
    <mergeCell ref="C79:G79"/>
    <mergeCell ref="C80:G80"/>
    <mergeCell ref="C81:G81"/>
    <mergeCell ref="C82:G82"/>
    <mergeCell ref="C93:G93"/>
    <mergeCell ref="C94:G94"/>
    <mergeCell ref="C95:G95"/>
    <mergeCell ref="C96:G96"/>
    <mergeCell ref="C97:G97"/>
    <mergeCell ref="C88:G88"/>
    <mergeCell ref="C89:G89"/>
    <mergeCell ref="C90:G90"/>
    <mergeCell ref="C91:G91"/>
    <mergeCell ref="C92:G92"/>
    <mergeCell ref="C103:G103"/>
    <mergeCell ref="C104:G104"/>
    <mergeCell ref="C105:G105"/>
    <mergeCell ref="C106:G106"/>
    <mergeCell ref="C107:G107"/>
    <mergeCell ref="C98:G98"/>
    <mergeCell ref="C99:G99"/>
    <mergeCell ref="C100:G100"/>
    <mergeCell ref="C101:G101"/>
    <mergeCell ref="C102:G102"/>
    <mergeCell ref="C113:G113"/>
    <mergeCell ref="C114:G114"/>
    <mergeCell ref="C115:G115"/>
    <mergeCell ref="C116:G116"/>
    <mergeCell ref="C117:G117"/>
    <mergeCell ref="C108:G108"/>
    <mergeCell ref="C109:G109"/>
    <mergeCell ref="C110:G110"/>
    <mergeCell ref="C111:G111"/>
    <mergeCell ref="C112:G112"/>
    <mergeCell ref="C123:G123"/>
    <mergeCell ref="C124:G124"/>
    <mergeCell ref="C125:G125"/>
    <mergeCell ref="C126:G126"/>
    <mergeCell ref="C127:G127"/>
    <mergeCell ref="C118:G118"/>
    <mergeCell ref="C119:G119"/>
    <mergeCell ref="C120:G120"/>
    <mergeCell ref="C121:G121"/>
    <mergeCell ref="C122:G122"/>
    <mergeCell ref="C133:G133"/>
    <mergeCell ref="C134:G134"/>
    <mergeCell ref="C135:G135"/>
    <mergeCell ref="C136:G136"/>
    <mergeCell ref="C137:G137"/>
    <mergeCell ref="C128:G128"/>
    <mergeCell ref="C129:G129"/>
    <mergeCell ref="C130:G130"/>
    <mergeCell ref="C131:G131"/>
    <mergeCell ref="C132:G132"/>
    <mergeCell ref="C144:O144"/>
    <mergeCell ref="C145:O145"/>
    <mergeCell ref="C146:O146"/>
    <mergeCell ref="C147:O147"/>
    <mergeCell ref="C148:J148"/>
    <mergeCell ref="L148:O148"/>
    <mergeCell ref="C138:G138"/>
    <mergeCell ref="C140:O140"/>
    <mergeCell ref="C141:O141"/>
    <mergeCell ref="C142:O142"/>
    <mergeCell ref="C143:O143"/>
    <mergeCell ref="A159:P159"/>
    <mergeCell ref="C154:H154"/>
    <mergeCell ref="I154:N154"/>
    <mergeCell ref="C155:N155"/>
    <mergeCell ref="A157:P157"/>
    <mergeCell ref="A158:P158"/>
    <mergeCell ref="C149:J149"/>
    <mergeCell ref="L149:O149"/>
    <mergeCell ref="C152:H152"/>
    <mergeCell ref="I152:N152"/>
    <mergeCell ref="C153:N153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9" fitToHeight="0" orientation="landscape" r:id="rId1"/>
  <headerFooter>
    <oddFooter>&amp;RСтраница &amp;P</oddFooter>
  </headerFooter>
  <rowBreaks count="1" manualBreakCount="1">
    <brk id="34" max="19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85"/>
  <sheetViews>
    <sheetView topLeftCell="A73" workbookViewId="0">
      <selection activeCell="P82" sqref="P82:P84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" customWidth="1"/>
    <col min="17" max="17" width="75.28515625" style="2" hidden="1" customWidth="1"/>
    <col min="18" max="18" width="126.5703125" style="2" hidden="1" customWidth="1"/>
    <col min="19" max="26" width="9.140625" style="1"/>
    <col min="27" max="33" width="127.28515625" style="3" hidden="1" customWidth="1"/>
    <col min="34" max="36" width="203.42578125" style="3" hidden="1" customWidth="1"/>
    <col min="37" max="37" width="66.42578125" style="3" hidden="1" customWidth="1"/>
    <col min="38" max="38" width="45.7109375" style="3" hidden="1" customWidth="1"/>
    <col min="39" max="40" width="203.42578125" style="3" hidden="1" customWidth="1"/>
    <col min="41" max="44" width="51.85546875" style="3" hidden="1" customWidth="1"/>
    <col min="45" max="48" width="156" style="3" hidden="1" customWidth="1"/>
    <col min="49" max="49" width="84.28515625" style="3" hidden="1" customWidth="1"/>
    <col min="50" max="50" width="61.140625" style="3" hidden="1" customWidth="1"/>
    <col min="51" max="51" width="82" style="3" hidden="1" customWidth="1"/>
    <col min="52" max="52" width="61.140625" style="3" hidden="1" customWidth="1"/>
    <col min="53" max="53" width="82" style="3" hidden="1" customWidth="1"/>
    <col min="54" max="16384" width="9.140625" style="1"/>
  </cols>
  <sheetData>
    <row r="1" spans="1:35" s="4" customFormat="1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 t="s">
        <v>0</v>
      </c>
    </row>
    <row r="2" spans="1:35" s="4" customFormat="1" ht="1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6" t="s">
        <v>1</v>
      </c>
    </row>
    <row r="3" spans="1:35" s="4" customFormat="1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6"/>
    </row>
    <row r="4" spans="1:35" s="4" customFormat="1" ht="12.75" customHeight="1" x14ac:dyDescent="0.25">
      <c r="A4" s="223" t="s">
        <v>2</v>
      </c>
      <c r="B4" s="223"/>
      <c r="C4" s="223"/>
      <c r="D4" s="223"/>
      <c r="E4" s="223"/>
      <c r="F4" s="223"/>
      <c r="G4" s="250" t="s">
        <v>3</v>
      </c>
      <c r="H4" s="250"/>
      <c r="I4" s="250"/>
      <c r="J4" s="250"/>
      <c r="K4" s="250"/>
      <c r="L4" s="250"/>
      <c r="M4" s="250"/>
      <c r="N4" s="250"/>
      <c r="O4" s="250"/>
      <c r="P4" s="250"/>
    </row>
    <row r="5" spans="1:35" s="4" customFormat="1" ht="22.5" customHeight="1" x14ac:dyDescent="0.25">
      <c r="A5" s="223" t="s">
        <v>4</v>
      </c>
      <c r="B5" s="223"/>
      <c r="C5" s="223"/>
      <c r="D5" s="223"/>
      <c r="E5" s="223"/>
      <c r="F5" s="223"/>
      <c r="G5" s="248" t="s">
        <v>5</v>
      </c>
      <c r="H5" s="248"/>
      <c r="I5" s="248"/>
      <c r="J5" s="248"/>
      <c r="K5" s="248"/>
      <c r="L5" s="248"/>
      <c r="M5" s="248"/>
      <c r="N5" s="248"/>
      <c r="O5" s="248"/>
      <c r="P5" s="248"/>
      <c r="AA5" s="8" t="s">
        <v>5</v>
      </c>
    </row>
    <row r="6" spans="1:35" s="4" customFormat="1" ht="45" customHeight="1" x14ac:dyDescent="0.25">
      <c r="A6" s="223" t="s">
        <v>6</v>
      </c>
      <c r="B6" s="223"/>
      <c r="C6" s="223"/>
      <c r="D6" s="223"/>
      <c r="E6" s="223"/>
      <c r="F6" s="223"/>
      <c r="G6" s="248" t="s">
        <v>7</v>
      </c>
      <c r="H6" s="248"/>
      <c r="I6" s="248"/>
      <c r="J6" s="248"/>
      <c r="K6" s="248"/>
      <c r="L6" s="248"/>
      <c r="M6" s="248"/>
      <c r="N6" s="248"/>
      <c r="O6" s="248"/>
      <c r="P6" s="248"/>
      <c r="AB6" s="8" t="s">
        <v>7</v>
      </c>
    </row>
    <row r="7" spans="1:35" s="4" customFormat="1" ht="67.5" customHeight="1" x14ac:dyDescent="0.25">
      <c r="A7" s="249" t="s">
        <v>8</v>
      </c>
      <c r="B7" s="249"/>
      <c r="C7" s="249"/>
      <c r="D7" s="249"/>
      <c r="E7" s="249"/>
      <c r="F7" s="249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9" t="s">
        <v>8</v>
      </c>
      <c r="R7" s="10"/>
      <c r="S7" s="8"/>
      <c r="T7" s="8"/>
      <c r="U7" s="8"/>
      <c r="V7" s="8"/>
      <c r="W7" s="8"/>
      <c r="X7" s="8"/>
      <c r="Y7" s="8"/>
      <c r="Z7" s="8"/>
      <c r="AC7" s="8" t="s">
        <v>9</v>
      </c>
    </row>
    <row r="8" spans="1:35" s="4" customFormat="1" ht="33.75" customHeight="1" x14ac:dyDescent="0.25">
      <c r="A8" s="223" t="s">
        <v>10</v>
      </c>
      <c r="B8" s="223"/>
      <c r="C8" s="223"/>
      <c r="D8" s="223"/>
      <c r="E8" s="223"/>
      <c r="F8" s="223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9" t="s">
        <v>10</v>
      </c>
      <c r="R8" s="10"/>
      <c r="S8" s="8"/>
      <c r="T8" s="8"/>
      <c r="U8" s="8"/>
      <c r="V8" s="8"/>
      <c r="W8" s="8"/>
      <c r="X8" s="8"/>
      <c r="Y8" s="8"/>
      <c r="Z8" s="8"/>
      <c r="AD8" s="8" t="s">
        <v>9</v>
      </c>
    </row>
    <row r="9" spans="1:35" s="4" customFormat="1" ht="11.25" customHeight="1" x14ac:dyDescent="0.25">
      <c r="A9" s="223" t="s">
        <v>11</v>
      </c>
      <c r="B9" s="223"/>
      <c r="C9" s="223"/>
      <c r="D9" s="223"/>
      <c r="E9" s="223"/>
      <c r="F9" s="223"/>
      <c r="G9" s="248"/>
      <c r="H9" s="248"/>
      <c r="I9" s="248"/>
      <c r="J9" s="248"/>
      <c r="K9" s="248"/>
      <c r="L9" s="248"/>
      <c r="M9" s="248"/>
      <c r="N9" s="248"/>
      <c r="O9" s="248"/>
      <c r="P9" s="248"/>
      <c r="AE9" s="8" t="s">
        <v>9</v>
      </c>
    </row>
    <row r="10" spans="1:35" s="4" customFormat="1" ht="11.25" customHeight="1" x14ac:dyDescent="0.25">
      <c r="A10" s="223" t="s">
        <v>12</v>
      </c>
      <c r="B10" s="223"/>
      <c r="C10" s="223"/>
      <c r="D10" s="223"/>
      <c r="E10" s="223"/>
      <c r="F10" s="223"/>
      <c r="G10" s="248" t="s">
        <v>13</v>
      </c>
      <c r="H10" s="248"/>
      <c r="I10" s="248"/>
      <c r="J10" s="248"/>
      <c r="K10" s="248"/>
      <c r="L10" s="248"/>
      <c r="M10" s="248"/>
      <c r="N10" s="248"/>
      <c r="O10" s="248"/>
      <c r="P10" s="248"/>
      <c r="R10" s="2" t="s">
        <v>13</v>
      </c>
      <c r="AF10" s="8" t="s">
        <v>13</v>
      </c>
    </row>
    <row r="11" spans="1:35" s="4" customFormat="1" ht="15" x14ac:dyDescent="0.25">
      <c r="A11" s="223" t="s">
        <v>14</v>
      </c>
      <c r="B11" s="223"/>
      <c r="C11" s="223"/>
      <c r="D11" s="223"/>
      <c r="E11" s="223"/>
      <c r="F11" s="223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AG11" s="8" t="s">
        <v>9</v>
      </c>
    </row>
    <row r="12" spans="1:35" s="4" customFormat="1" ht="6" customHeight="1" x14ac:dyDescent="0.25">
      <c r="A12" s="11"/>
      <c r="B12" s="7"/>
      <c r="C12" s="7"/>
      <c r="D12" s="7"/>
      <c r="E12" s="7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35" s="4" customFormat="1" ht="15" x14ac:dyDescent="0.25">
      <c r="A13" s="246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AH13" s="8" t="s">
        <v>9</v>
      </c>
    </row>
    <row r="14" spans="1:35" s="4" customFormat="1" ht="15" customHeight="1" x14ac:dyDescent="0.25">
      <c r="A14" s="231" t="s">
        <v>15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</row>
    <row r="15" spans="1:35" s="4" customFormat="1" ht="6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35" s="4" customFormat="1" ht="15" x14ac:dyDescent="0.25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AI16" s="8" t="s">
        <v>9</v>
      </c>
    </row>
    <row r="17" spans="1:38" s="4" customFormat="1" ht="15" x14ac:dyDescent="0.25">
      <c r="A17" s="231" t="s">
        <v>16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</row>
    <row r="18" spans="1:38" s="4" customFormat="1" ht="17.25" customHeight="1" x14ac:dyDescent="0.25">
      <c r="A18" s="247" t="s">
        <v>17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38" s="4" customFormat="1" ht="8.2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38" s="4" customFormat="1" ht="15" x14ac:dyDescent="0.25">
      <c r="A20" s="246" t="s">
        <v>215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AJ20" s="8" t="s">
        <v>215</v>
      </c>
    </row>
    <row r="21" spans="1:38" s="4" customFormat="1" ht="11.25" customHeight="1" x14ac:dyDescent="0.25">
      <c r="A21" s="231" t="s">
        <v>19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</row>
    <row r="22" spans="1:38" s="4" customFormat="1" ht="12" customHeight="1" x14ac:dyDescent="0.25">
      <c r="A22" s="7" t="s">
        <v>20</v>
      </c>
      <c r="B22" s="16" t="s">
        <v>21</v>
      </c>
      <c r="C22" s="5" t="s">
        <v>22</v>
      </c>
      <c r="D22" s="5"/>
      <c r="E22" s="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38" s="4" customFormat="1" ht="15" x14ac:dyDescent="0.25">
      <c r="A23" s="7" t="s">
        <v>23</v>
      </c>
      <c r="B23" s="232"/>
      <c r="C23" s="232"/>
      <c r="D23" s="232"/>
      <c r="E23" s="232"/>
      <c r="F23" s="232"/>
      <c r="G23" s="17"/>
      <c r="H23" s="17"/>
      <c r="I23" s="17"/>
      <c r="J23" s="17"/>
      <c r="K23" s="17"/>
      <c r="L23" s="17"/>
      <c r="M23" s="17"/>
      <c r="N23" s="17"/>
      <c r="O23" s="17"/>
      <c r="P23" s="17"/>
      <c r="AK23" s="8" t="s">
        <v>9</v>
      </c>
    </row>
    <row r="24" spans="1:38" s="4" customFormat="1" ht="10.5" customHeight="1" x14ac:dyDescent="0.25">
      <c r="A24" s="7"/>
      <c r="B24" s="233" t="s">
        <v>24</v>
      </c>
      <c r="C24" s="233"/>
      <c r="D24" s="233"/>
      <c r="E24" s="233"/>
      <c r="F24" s="233"/>
      <c r="G24" s="18"/>
      <c r="H24" s="18"/>
      <c r="I24" s="18"/>
      <c r="J24" s="18"/>
      <c r="K24" s="18"/>
      <c r="L24" s="18"/>
      <c r="M24" s="18"/>
      <c r="N24" s="18"/>
      <c r="O24" s="19"/>
      <c r="P24" s="18"/>
    </row>
    <row r="25" spans="1:38" s="4" customFormat="1" ht="9.75" customHeight="1" x14ac:dyDescent="0.25">
      <c r="A25" s="7"/>
      <c r="B25" s="7"/>
      <c r="C25" s="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8"/>
      <c r="P25" s="18"/>
    </row>
    <row r="26" spans="1:38" s="4" customFormat="1" ht="15" x14ac:dyDescent="0.25">
      <c r="A26" s="21" t="s">
        <v>25</v>
      </c>
      <c r="B26" s="22"/>
      <c r="C26" s="234"/>
      <c r="D26" s="234"/>
      <c r="E26" s="234"/>
      <c r="F26" s="234"/>
      <c r="G26" s="8"/>
      <c r="H26" s="8"/>
      <c r="I26" s="8"/>
      <c r="J26" s="8"/>
      <c r="K26" s="8"/>
      <c r="L26" s="8"/>
      <c r="M26" s="8"/>
      <c r="N26" s="8"/>
      <c r="O26" s="8"/>
      <c r="P26" s="8"/>
      <c r="AL26" s="8" t="s">
        <v>9</v>
      </c>
    </row>
    <row r="27" spans="1:38" s="4" customFormat="1" ht="9.75" customHeight="1" x14ac:dyDescent="0.25">
      <c r="A27" s="7"/>
      <c r="B27" s="22"/>
      <c r="C27" s="23"/>
      <c r="D27" s="24"/>
      <c r="E27" s="24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38" s="4" customFormat="1" ht="12" customHeight="1" x14ac:dyDescent="0.25">
      <c r="A28" s="21" t="s">
        <v>26</v>
      </c>
      <c r="B28" s="22"/>
      <c r="C28" s="26"/>
      <c r="D28" s="27">
        <v>11987.9</v>
      </c>
      <c r="E28" s="28" t="s">
        <v>27</v>
      </c>
      <c r="G28" s="22"/>
      <c r="H28" s="22"/>
      <c r="I28" s="22"/>
      <c r="J28" s="22"/>
      <c r="K28" s="22"/>
      <c r="L28" s="22"/>
      <c r="M28" s="22"/>
      <c r="N28" s="29"/>
      <c r="O28" s="29"/>
      <c r="P28" s="22"/>
    </row>
    <row r="29" spans="1:38" s="4" customFormat="1" ht="12" customHeight="1" x14ac:dyDescent="0.25">
      <c r="A29" s="7"/>
      <c r="B29" s="30" t="s">
        <v>28</v>
      </c>
      <c r="C29" s="31"/>
      <c r="D29" s="32"/>
      <c r="E29" s="28"/>
      <c r="G29" s="22"/>
    </row>
    <row r="30" spans="1:38" s="4" customFormat="1" ht="12" customHeight="1" x14ac:dyDescent="0.25">
      <c r="A30" s="7"/>
      <c r="B30" s="33" t="s">
        <v>29</v>
      </c>
      <c r="C30" s="26"/>
      <c r="D30" s="27">
        <v>11987.9</v>
      </c>
      <c r="E30" s="28" t="s">
        <v>27</v>
      </c>
      <c r="I30" s="22"/>
      <c r="K30" s="22" t="s">
        <v>30</v>
      </c>
      <c r="L30" s="22"/>
      <c r="M30" s="22"/>
      <c r="N30" s="34"/>
      <c r="O30" s="27">
        <v>3032.83</v>
      </c>
      <c r="P30" s="28" t="s">
        <v>27</v>
      </c>
    </row>
    <row r="31" spans="1:38" s="4" customFormat="1" ht="12" customHeight="1" x14ac:dyDescent="0.25">
      <c r="A31" s="7"/>
      <c r="B31" s="33" t="s">
        <v>31</v>
      </c>
      <c r="C31" s="35"/>
      <c r="D31" s="36">
        <v>0</v>
      </c>
      <c r="E31" s="28" t="s">
        <v>27</v>
      </c>
      <c r="I31" s="22"/>
      <c r="K31" s="22" t="s">
        <v>32</v>
      </c>
      <c r="L31" s="22"/>
      <c r="M31" s="22"/>
      <c r="N31" s="34"/>
      <c r="O31" s="27">
        <v>0</v>
      </c>
      <c r="P31" s="28" t="s">
        <v>27</v>
      </c>
    </row>
    <row r="32" spans="1:38" s="4" customFormat="1" ht="12" customHeight="1" x14ac:dyDescent="0.25">
      <c r="A32" s="7"/>
      <c r="B32" s="33" t="s">
        <v>33</v>
      </c>
      <c r="C32" s="35"/>
      <c r="D32" s="36">
        <v>0</v>
      </c>
      <c r="E32" s="28" t="s">
        <v>27</v>
      </c>
      <c r="I32" s="22"/>
      <c r="K32" s="22" t="s">
        <v>34</v>
      </c>
      <c r="L32" s="22"/>
      <c r="M32" s="22"/>
      <c r="N32" s="37"/>
      <c r="O32" s="36">
        <v>7429.46</v>
      </c>
      <c r="P32" s="38" t="s">
        <v>35</v>
      </c>
    </row>
    <row r="33" spans="1:53" s="4" customFormat="1" ht="12" customHeight="1" x14ac:dyDescent="0.25">
      <c r="A33" s="7"/>
      <c r="B33" s="33" t="s">
        <v>36</v>
      </c>
      <c r="C33" s="35"/>
      <c r="D33" s="27">
        <v>0</v>
      </c>
      <c r="E33" s="28" t="s">
        <v>27</v>
      </c>
      <c r="I33" s="22"/>
      <c r="K33" s="22" t="s">
        <v>37</v>
      </c>
      <c r="L33" s="22"/>
      <c r="M33" s="22"/>
      <c r="N33" s="37"/>
      <c r="O33" s="36">
        <v>199.73</v>
      </c>
      <c r="P33" s="38" t="s">
        <v>35</v>
      </c>
    </row>
    <row r="34" spans="1:53" s="4" customFormat="1" ht="15" x14ac:dyDescent="0.25">
      <c r="A34" s="7"/>
      <c r="B34" s="22"/>
      <c r="D34" s="39"/>
      <c r="E34" s="28"/>
      <c r="H34" s="22"/>
      <c r="I34" s="22"/>
      <c r="J34" s="22"/>
      <c r="K34" s="22"/>
      <c r="L34" s="22"/>
      <c r="M34" s="22"/>
      <c r="N34" s="119" t="s">
        <v>243</v>
      </c>
      <c r="O34" s="100">
        <v>100</v>
      </c>
      <c r="P34" s="111" t="s">
        <v>244</v>
      </c>
    </row>
    <row r="35" spans="1:53" s="4" customFormat="1" ht="11.25" customHeight="1" x14ac:dyDescent="0.25">
      <c r="A35" s="235" t="s">
        <v>38</v>
      </c>
      <c r="B35" s="236" t="s">
        <v>39</v>
      </c>
      <c r="C35" s="237" t="s">
        <v>40</v>
      </c>
      <c r="D35" s="238"/>
      <c r="E35" s="238"/>
      <c r="F35" s="238"/>
      <c r="G35" s="239"/>
      <c r="H35" s="236" t="s">
        <v>41</v>
      </c>
      <c r="I35" s="236" t="s">
        <v>42</v>
      </c>
      <c r="J35" s="236"/>
      <c r="K35" s="236"/>
      <c r="L35" s="237" t="s">
        <v>43</v>
      </c>
      <c r="M35" s="238"/>
      <c r="N35" s="238"/>
      <c r="O35" s="238"/>
      <c r="P35" s="239"/>
    </row>
    <row r="36" spans="1:53" s="4" customFormat="1" ht="11.25" customHeight="1" x14ac:dyDescent="0.25">
      <c r="A36" s="235"/>
      <c r="B36" s="236"/>
      <c r="C36" s="240"/>
      <c r="D36" s="241"/>
      <c r="E36" s="241"/>
      <c r="F36" s="241"/>
      <c r="G36" s="242"/>
      <c r="H36" s="236"/>
      <c r="I36" s="236"/>
      <c r="J36" s="236"/>
      <c r="K36" s="236"/>
      <c r="L36" s="243"/>
      <c r="M36" s="244"/>
      <c r="N36" s="244"/>
      <c r="O36" s="244"/>
      <c r="P36" s="245"/>
    </row>
    <row r="37" spans="1:53" s="4" customFormat="1" ht="54" customHeight="1" x14ac:dyDescent="0.25">
      <c r="A37" s="235"/>
      <c r="B37" s="236"/>
      <c r="C37" s="243"/>
      <c r="D37" s="244"/>
      <c r="E37" s="244"/>
      <c r="F37" s="244"/>
      <c r="G37" s="245"/>
      <c r="H37" s="236"/>
      <c r="I37" s="40" t="s">
        <v>44</v>
      </c>
      <c r="J37" s="40" t="s">
        <v>45</v>
      </c>
      <c r="K37" s="40" t="s">
        <v>46</v>
      </c>
      <c r="L37" s="40" t="s">
        <v>47</v>
      </c>
      <c r="M37" s="40" t="s">
        <v>48</v>
      </c>
      <c r="N37" s="40" t="s">
        <v>49</v>
      </c>
      <c r="O37" s="40" t="s">
        <v>45</v>
      </c>
      <c r="P37" s="40" t="s">
        <v>50</v>
      </c>
    </row>
    <row r="38" spans="1:53" s="4" customFormat="1" ht="13.5" customHeight="1" x14ac:dyDescent="0.25">
      <c r="A38" s="41">
        <v>1</v>
      </c>
      <c r="B38" s="42">
        <v>2</v>
      </c>
      <c r="C38" s="228">
        <v>3</v>
      </c>
      <c r="D38" s="229"/>
      <c r="E38" s="229"/>
      <c r="F38" s="229"/>
      <c r="G38" s="230"/>
      <c r="H38" s="42">
        <v>4</v>
      </c>
      <c r="I38" s="42">
        <v>5</v>
      </c>
      <c r="J38" s="42">
        <v>6</v>
      </c>
      <c r="K38" s="42">
        <v>7</v>
      </c>
      <c r="L38" s="42">
        <v>8</v>
      </c>
      <c r="M38" s="42">
        <v>9</v>
      </c>
      <c r="N38" s="42">
        <v>10</v>
      </c>
      <c r="O38" s="42">
        <v>11</v>
      </c>
      <c r="P38" s="42">
        <v>12</v>
      </c>
    </row>
    <row r="39" spans="1:53" s="22" customFormat="1" ht="15" x14ac:dyDescent="0.25">
      <c r="A39" s="225" t="s">
        <v>216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7"/>
      <c r="Q39" s="4"/>
      <c r="R39" s="4"/>
      <c r="S39" s="4"/>
      <c r="T39" s="4"/>
      <c r="U39" s="4"/>
      <c r="V39" s="4"/>
      <c r="W39" s="4"/>
      <c r="X39" s="4"/>
      <c r="Y39" s="4"/>
      <c r="Z39" s="4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3" t="s">
        <v>216</v>
      </c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</row>
    <row r="40" spans="1:53" s="22" customFormat="1" ht="15" x14ac:dyDescent="0.25">
      <c r="A40" s="225" t="s">
        <v>52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7"/>
      <c r="Q40" s="4"/>
      <c r="R40" s="4"/>
      <c r="S40" s="4"/>
      <c r="T40" s="4"/>
      <c r="U40" s="4"/>
      <c r="V40" s="4"/>
      <c r="W40" s="4"/>
      <c r="X40" s="4"/>
      <c r="Y40" s="4"/>
      <c r="Z40" s="4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3"/>
      <c r="AN40" s="43" t="s">
        <v>52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s="22" customFormat="1" ht="23.25" x14ac:dyDescent="0.25">
      <c r="A41" s="44" t="s">
        <v>53</v>
      </c>
      <c r="B41" s="45" t="s">
        <v>160</v>
      </c>
      <c r="C41" s="224" t="s">
        <v>161</v>
      </c>
      <c r="D41" s="224"/>
      <c r="E41" s="224"/>
      <c r="F41" s="224"/>
      <c r="G41" s="224"/>
      <c r="H41" s="46" t="s">
        <v>162</v>
      </c>
      <c r="I41" s="47">
        <f>0.12/100*$O$34</f>
        <v>0.12</v>
      </c>
      <c r="J41" s="48">
        <v>1</v>
      </c>
      <c r="K41" s="49">
        <v>0.12</v>
      </c>
      <c r="L41" s="50"/>
      <c r="M41" s="47"/>
      <c r="N41" s="50"/>
      <c r="O41" s="47"/>
      <c r="P41" s="51"/>
      <c r="Q41" s="4"/>
      <c r="R41" s="4"/>
      <c r="S41" s="4"/>
      <c r="T41" s="4"/>
      <c r="U41" s="4"/>
      <c r="V41" s="4"/>
      <c r="W41" s="4"/>
      <c r="X41" s="4"/>
      <c r="Y41" s="4"/>
      <c r="Z41" s="4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3"/>
      <c r="AN41" s="43"/>
      <c r="AO41" s="43" t="s">
        <v>161</v>
      </c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  <row r="42" spans="1:53" s="22" customFormat="1" ht="15" x14ac:dyDescent="0.25">
      <c r="A42" s="52"/>
      <c r="B42" s="53"/>
      <c r="C42" s="222" t="s">
        <v>57</v>
      </c>
      <c r="D42" s="222"/>
      <c r="E42" s="222"/>
      <c r="F42" s="222"/>
      <c r="G42" s="222"/>
      <c r="H42" s="46"/>
      <c r="I42" s="47"/>
      <c r="J42" s="47"/>
      <c r="K42" s="47"/>
      <c r="L42" s="50"/>
      <c r="M42" s="47"/>
      <c r="N42" s="54"/>
      <c r="O42" s="47"/>
      <c r="P42" s="55">
        <f>3009/100*$O$34</f>
        <v>3009</v>
      </c>
      <c r="Q42" s="56"/>
      <c r="R42" s="56"/>
      <c r="S42" s="4"/>
      <c r="T42" s="4"/>
      <c r="U42" s="4"/>
      <c r="V42" s="4"/>
      <c r="W42" s="4"/>
      <c r="X42" s="4"/>
      <c r="Y42" s="4"/>
      <c r="Z42" s="4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3"/>
      <c r="AN42" s="43"/>
      <c r="AO42" s="43"/>
      <c r="AP42" s="43" t="s">
        <v>57</v>
      </c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3" s="22" customFormat="1" ht="15" x14ac:dyDescent="0.25">
      <c r="A43" s="57"/>
      <c r="B43" s="58"/>
      <c r="C43" s="223" t="s">
        <v>58</v>
      </c>
      <c r="D43" s="223"/>
      <c r="E43" s="223"/>
      <c r="F43" s="223"/>
      <c r="G43" s="223"/>
      <c r="H43" s="59"/>
      <c r="I43" s="60"/>
      <c r="J43" s="60"/>
      <c r="K43" s="60"/>
      <c r="L43" s="61"/>
      <c r="M43" s="60"/>
      <c r="N43" s="61"/>
      <c r="O43" s="60"/>
      <c r="P43" s="66">
        <f>305/100*$O$34</f>
        <v>305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3"/>
      <c r="AN43" s="43"/>
      <c r="AO43" s="43"/>
      <c r="AP43" s="43"/>
      <c r="AQ43" s="8" t="s">
        <v>58</v>
      </c>
      <c r="AR43" s="8"/>
      <c r="AS43" s="8"/>
      <c r="AT43" s="8"/>
      <c r="AU43" s="8"/>
      <c r="AV43" s="8"/>
      <c r="AW43" s="8"/>
      <c r="AX43" s="8"/>
      <c r="AY43" s="8"/>
      <c r="AZ43" s="8"/>
      <c r="BA43" s="8"/>
    </row>
    <row r="44" spans="1:53" s="22" customFormat="1" ht="23.25" x14ac:dyDescent="0.25">
      <c r="A44" s="57"/>
      <c r="B44" s="58" t="s">
        <v>73</v>
      </c>
      <c r="C44" s="223" t="s">
        <v>74</v>
      </c>
      <c r="D44" s="223"/>
      <c r="E44" s="223"/>
      <c r="F44" s="223"/>
      <c r="G44" s="223"/>
      <c r="H44" s="59" t="s">
        <v>61</v>
      </c>
      <c r="I44" s="63">
        <v>92</v>
      </c>
      <c r="J44" s="60"/>
      <c r="K44" s="63">
        <v>92</v>
      </c>
      <c r="L44" s="61"/>
      <c r="M44" s="60"/>
      <c r="N44" s="61"/>
      <c r="O44" s="60"/>
      <c r="P44" s="95">
        <f>P43*K44%</f>
        <v>280.60000000000002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3"/>
      <c r="AN44" s="43"/>
      <c r="AO44" s="43"/>
      <c r="AP44" s="43"/>
      <c r="AQ44" s="8" t="s">
        <v>74</v>
      </c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s="22" customFormat="1" ht="23.25" x14ac:dyDescent="0.25">
      <c r="A45" s="57"/>
      <c r="B45" s="58" t="s">
        <v>75</v>
      </c>
      <c r="C45" s="223" t="s">
        <v>76</v>
      </c>
      <c r="D45" s="223"/>
      <c r="E45" s="223"/>
      <c r="F45" s="223"/>
      <c r="G45" s="223"/>
      <c r="H45" s="59" t="s">
        <v>61</v>
      </c>
      <c r="I45" s="63">
        <v>46</v>
      </c>
      <c r="J45" s="60"/>
      <c r="K45" s="63">
        <v>46</v>
      </c>
      <c r="L45" s="61"/>
      <c r="M45" s="60"/>
      <c r="N45" s="61"/>
      <c r="O45" s="60"/>
      <c r="P45" s="95">
        <f>P43*K45%</f>
        <v>140.30000000000001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3"/>
      <c r="AN45" s="43"/>
      <c r="AO45" s="43"/>
      <c r="AP45" s="43"/>
      <c r="AQ45" s="8" t="s">
        <v>76</v>
      </c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s="22" customFormat="1" ht="15" x14ac:dyDescent="0.25">
      <c r="A46" s="64"/>
      <c r="B46" s="65"/>
      <c r="C46" s="222" t="s">
        <v>64</v>
      </c>
      <c r="D46" s="222"/>
      <c r="E46" s="222"/>
      <c r="F46" s="222"/>
      <c r="G46" s="222"/>
      <c r="H46" s="46"/>
      <c r="I46" s="47"/>
      <c r="J46" s="47"/>
      <c r="K46" s="47"/>
      <c r="L46" s="50"/>
      <c r="M46" s="47"/>
      <c r="N46" s="54">
        <v>28583.33</v>
      </c>
      <c r="O46" s="47"/>
      <c r="P46" s="96">
        <f>P42+P44+P45</f>
        <v>3429.9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3"/>
      <c r="AN46" s="43"/>
      <c r="AO46" s="43"/>
      <c r="AP46" s="43"/>
      <c r="AQ46" s="8"/>
      <c r="AR46" s="43" t="s">
        <v>64</v>
      </c>
      <c r="AS46" s="8"/>
      <c r="AT46" s="8"/>
      <c r="AU46" s="8"/>
      <c r="AV46" s="8"/>
      <c r="AW46" s="8"/>
      <c r="AX46" s="8"/>
      <c r="AY46" s="8"/>
      <c r="AZ46" s="8"/>
      <c r="BA46" s="8"/>
    </row>
    <row r="47" spans="1:53" s="22" customFormat="1" ht="23.25" x14ac:dyDescent="0.25">
      <c r="A47" s="44" t="s">
        <v>65</v>
      </c>
      <c r="B47" s="45" t="s">
        <v>54</v>
      </c>
      <c r="C47" s="224" t="s">
        <v>55</v>
      </c>
      <c r="D47" s="224"/>
      <c r="E47" s="224"/>
      <c r="F47" s="224"/>
      <c r="G47" s="224"/>
      <c r="H47" s="46" t="s">
        <v>56</v>
      </c>
      <c r="I47" s="47">
        <f>0.13/100*$O$34</f>
        <v>0.13</v>
      </c>
      <c r="J47" s="48">
        <v>1</v>
      </c>
      <c r="K47" s="49">
        <v>0.13</v>
      </c>
      <c r="L47" s="50"/>
      <c r="M47" s="47"/>
      <c r="N47" s="50"/>
      <c r="O47" s="47"/>
      <c r="P47" s="51"/>
      <c r="Q47" s="4"/>
      <c r="R47" s="4"/>
      <c r="S47" s="4"/>
      <c r="T47" s="4"/>
      <c r="U47" s="4"/>
      <c r="V47" s="4"/>
      <c r="W47" s="4"/>
      <c r="X47" s="4"/>
      <c r="Y47" s="4"/>
      <c r="Z47" s="4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3"/>
      <c r="AN47" s="43"/>
      <c r="AO47" s="43" t="s">
        <v>55</v>
      </c>
      <c r="AP47" s="43"/>
      <c r="AQ47" s="8"/>
      <c r="AR47" s="43"/>
      <c r="AS47" s="8"/>
      <c r="AT47" s="8"/>
      <c r="AU47" s="8"/>
      <c r="AV47" s="8"/>
      <c r="AW47" s="8"/>
      <c r="AX47" s="8"/>
      <c r="AY47" s="8"/>
      <c r="AZ47" s="8"/>
      <c r="BA47" s="8"/>
    </row>
    <row r="48" spans="1:53" s="22" customFormat="1" ht="15" x14ac:dyDescent="0.25">
      <c r="A48" s="52"/>
      <c r="B48" s="53"/>
      <c r="C48" s="222" t="s">
        <v>57</v>
      </c>
      <c r="D48" s="222"/>
      <c r="E48" s="222"/>
      <c r="F48" s="222"/>
      <c r="G48" s="222"/>
      <c r="H48" s="46"/>
      <c r="I48" s="47"/>
      <c r="J48" s="47"/>
      <c r="K48" s="47"/>
      <c r="L48" s="50"/>
      <c r="M48" s="47"/>
      <c r="N48" s="54"/>
      <c r="O48" s="47"/>
      <c r="P48" s="55">
        <f>5552/100*$O$34</f>
        <v>5552</v>
      </c>
      <c r="Q48" s="56"/>
      <c r="R48" s="56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3"/>
      <c r="AN48" s="43"/>
      <c r="AO48" s="43"/>
      <c r="AP48" s="43" t="s">
        <v>57</v>
      </c>
      <c r="AQ48" s="8"/>
      <c r="AR48" s="43"/>
      <c r="AS48" s="8"/>
      <c r="AT48" s="8"/>
      <c r="AU48" s="8"/>
      <c r="AV48" s="8"/>
      <c r="AW48" s="8"/>
      <c r="AX48" s="8"/>
      <c r="AY48" s="8"/>
      <c r="AZ48" s="8"/>
      <c r="BA48" s="8"/>
    </row>
    <row r="49" spans="1:53" s="22" customFormat="1" ht="15" x14ac:dyDescent="0.25">
      <c r="A49" s="57"/>
      <c r="B49" s="58"/>
      <c r="C49" s="223" t="s">
        <v>58</v>
      </c>
      <c r="D49" s="223"/>
      <c r="E49" s="223"/>
      <c r="F49" s="223"/>
      <c r="G49" s="223"/>
      <c r="H49" s="59"/>
      <c r="I49" s="60"/>
      <c r="J49" s="60"/>
      <c r="K49" s="60"/>
      <c r="L49" s="61"/>
      <c r="M49" s="60"/>
      <c r="N49" s="61"/>
      <c r="O49" s="60"/>
      <c r="P49" s="62">
        <f>5552/100*$O$34</f>
        <v>5552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3"/>
      <c r="AN49" s="43"/>
      <c r="AO49" s="43"/>
      <c r="AP49" s="43"/>
      <c r="AQ49" s="8" t="s">
        <v>58</v>
      </c>
      <c r="AR49" s="43"/>
      <c r="AS49" s="8"/>
      <c r="AT49" s="8"/>
      <c r="AU49" s="8"/>
      <c r="AV49" s="8"/>
      <c r="AW49" s="8"/>
      <c r="AX49" s="8"/>
      <c r="AY49" s="8"/>
      <c r="AZ49" s="8"/>
      <c r="BA49" s="8"/>
    </row>
    <row r="50" spans="1:53" s="22" customFormat="1" ht="15" x14ac:dyDescent="0.25">
      <c r="A50" s="57"/>
      <c r="B50" s="58" t="s">
        <v>59</v>
      </c>
      <c r="C50" s="223" t="s">
        <v>60</v>
      </c>
      <c r="D50" s="223"/>
      <c r="E50" s="223"/>
      <c r="F50" s="223"/>
      <c r="G50" s="223"/>
      <c r="H50" s="59" t="s">
        <v>61</v>
      </c>
      <c r="I50" s="63">
        <v>89</v>
      </c>
      <c r="J50" s="60"/>
      <c r="K50" s="63">
        <v>89</v>
      </c>
      <c r="L50" s="61"/>
      <c r="M50" s="60"/>
      <c r="N50" s="61"/>
      <c r="O50" s="60"/>
      <c r="P50" s="95">
        <f>P49*K50%</f>
        <v>4941.28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43"/>
      <c r="AN50" s="43"/>
      <c r="AO50" s="43"/>
      <c r="AP50" s="43"/>
      <c r="AQ50" s="8" t="s">
        <v>60</v>
      </c>
      <c r="AR50" s="43"/>
      <c r="AS50" s="8"/>
      <c r="AT50" s="8"/>
      <c r="AU50" s="8"/>
      <c r="AV50" s="8"/>
      <c r="AW50" s="8"/>
      <c r="AX50" s="8"/>
      <c r="AY50" s="8"/>
      <c r="AZ50" s="8"/>
      <c r="BA50" s="8"/>
    </row>
    <row r="51" spans="1:53" s="22" customFormat="1" ht="15" x14ac:dyDescent="0.25">
      <c r="A51" s="57"/>
      <c r="B51" s="58" t="s">
        <v>62</v>
      </c>
      <c r="C51" s="223" t="s">
        <v>63</v>
      </c>
      <c r="D51" s="223"/>
      <c r="E51" s="223"/>
      <c r="F51" s="223"/>
      <c r="G51" s="223"/>
      <c r="H51" s="59" t="s">
        <v>61</v>
      </c>
      <c r="I51" s="63">
        <v>40</v>
      </c>
      <c r="J51" s="60"/>
      <c r="K51" s="63">
        <v>40</v>
      </c>
      <c r="L51" s="61"/>
      <c r="M51" s="60"/>
      <c r="N51" s="61"/>
      <c r="O51" s="60"/>
      <c r="P51" s="95">
        <f>P49*K51%</f>
        <v>2220.8000000000002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43"/>
      <c r="AN51" s="43"/>
      <c r="AO51" s="43"/>
      <c r="AP51" s="43"/>
      <c r="AQ51" s="8" t="s">
        <v>63</v>
      </c>
      <c r="AR51" s="43"/>
      <c r="AS51" s="8"/>
      <c r="AT51" s="8"/>
      <c r="AU51" s="8"/>
      <c r="AV51" s="8"/>
      <c r="AW51" s="8"/>
      <c r="AX51" s="8"/>
      <c r="AY51" s="8"/>
      <c r="AZ51" s="8"/>
      <c r="BA51" s="8"/>
    </row>
    <row r="52" spans="1:53" s="22" customFormat="1" ht="15" x14ac:dyDescent="0.25">
      <c r="A52" s="64"/>
      <c r="B52" s="65"/>
      <c r="C52" s="222" t="s">
        <v>64</v>
      </c>
      <c r="D52" s="222"/>
      <c r="E52" s="222"/>
      <c r="F52" s="222"/>
      <c r="G52" s="222"/>
      <c r="H52" s="46"/>
      <c r="I52" s="47"/>
      <c r="J52" s="47"/>
      <c r="K52" s="47"/>
      <c r="L52" s="50"/>
      <c r="M52" s="47"/>
      <c r="N52" s="54">
        <v>97800</v>
      </c>
      <c r="O52" s="47"/>
      <c r="P52" s="96">
        <f>P48+P50+P51</f>
        <v>12714.079999999998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43"/>
      <c r="AN52" s="43"/>
      <c r="AO52" s="43"/>
      <c r="AP52" s="43"/>
      <c r="AQ52" s="8"/>
      <c r="AR52" s="43" t="s">
        <v>64</v>
      </c>
      <c r="AS52" s="8"/>
      <c r="AT52" s="8"/>
      <c r="AU52" s="8"/>
      <c r="AV52" s="8"/>
      <c r="AW52" s="8"/>
      <c r="AX52" s="8"/>
      <c r="AY52" s="8"/>
      <c r="AZ52" s="8"/>
      <c r="BA52" s="8"/>
    </row>
    <row r="53" spans="1:53" s="22" customFormat="1" ht="23.25" x14ac:dyDescent="0.25">
      <c r="A53" s="44" t="s">
        <v>69</v>
      </c>
      <c r="B53" s="45" t="s">
        <v>66</v>
      </c>
      <c r="C53" s="224" t="s">
        <v>163</v>
      </c>
      <c r="D53" s="224"/>
      <c r="E53" s="224"/>
      <c r="F53" s="224"/>
      <c r="G53" s="224"/>
      <c r="H53" s="46" t="s">
        <v>56</v>
      </c>
      <c r="I53" s="47">
        <f>0.13/100*$O$34</f>
        <v>0.13</v>
      </c>
      <c r="J53" s="48">
        <v>1</v>
      </c>
      <c r="K53" s="49">
        <v>0.13</v>
      </c>
      <c r="L53" s="50"/>
      <c r="M53" s="47"/>
      <c r="N53" s="50"/>
      <c r="O53" s="47"/>
      <c r="P53" s="51"/>
      <c r="Q53" s="4"/>
      <c r="R53" s="4"/>
      <c r="S53" s="4"/>
      <c r="T53" s="4"/>
      <c r="U53" s="4"/>
      <c r="V53" s="4"/>
      <c r="W53" s="4"/>
      <c r="X53" s="4"/>
      <c r="Y53" s="4"/>
      <c r="Z53" s="4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43"/>
      <c r="AN53" s="43"/>
      <c r="AO53" s="43" t="s">
        <v>163</v>
      </c>
      <c r="AP53" s="43"/>
      <c r="AQ53" s="8"/>
      <c r="AR53" s="43"/>
      <c r="AS53" s="8"/>
      <c r="AT53" s="8"/>
      <c r="AU53" s="8"/>
      <c r="AV53" s="8"/>
      <c r="AW53" s="8"/>
      <c r="AX53" s="8"/>
      <c r="AY53" s="8"/>
      <c r="AZ53" s="8"/>
      <c r="BA53" s="8"/>
    </row>
    <row r="54" spans="1:53" s="22" customFormat="1" ht="15" x14ac:dyDescent="0.25">
      <c r="A54" s="52"/>
      <c r="B54" s="53"/>
      <c r="C54" s="222" t="s">
        <v>57</v>
      </c>
      <c r="D54" s="222"/>
      <c r="E54" s="222"/>
      <c r="F54" s="222"/>
      <c r="G54" s="222"/>
      <c r="H54" s="46"/>
      <c r="I54" s="47"/>
      <c r="J54" s="47"/>
      <c r="K54" s="47"/>
      <c r="L54" s="50"/>
      <c r="M54" s="47"/>
      <c r="N54" s="54"/>
      <c r="O54" s="47"/>
      <c r="P54" s="55">
        <f>3992/100*$O$34</f>
        <v>3992</v>
      </c>
      <c r="Q54" s="56"/>
      <c r="R54" s="56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43"/>
      <c r="AN54" s="43"/>
      <c r="AO54" s="43"/>
      <c r="AP54" s="43" t="s">
        <v>57</v>
      </c>
      <c r="AQ54" s="8"/>
      <c r="AR54" s="43"/>
      <c r="AS54" s="8"/>
      <c r="AT54" s="8"/>
      <c r="AU54" s="8"/>
      <c r="AV54" s="8"/>
      <c r="AW54" s="8"/>
      <c r="AX54" s="8"/>
      <c r="AY54" s="8"/>
      <c r="AZ54" s="8"/>
      <c r="BA54" s="8"/>
    </row>
    <row r="55" spans="1:53" s="22" customFormat="1" ht="15" x14ac:dyDescent="0.25">
      <c r="A55" s="57"/>
      <c r="B55" s="58"/>
      <c r="C55" s="223" t="s">
        <v>58</v>
      </c>
      <c r="D55" s="223"/>
      <c r="E55" s="223"/>
      <c r="F55" s="223"/>
      <c r="G55" s="223"/>
      <c r="H55" s="59"/>
      <c r="I55" s="60"/>
      <c r="J55" s="60"/>
      <c r="K55" s="60"/>
      <c r="L55" s="61"/>
      <c r="M55" s="60"/>
      <c r="N55" s="61"/>
      <c r="O55" s="60"/>
      <c r="P55" s="62">
        <f>3992/100*$O$34</f>
        <v>3992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43"/>
      <c r="AN55" s="43"/>
      <c r="AO55" s="43"/>
      <c r="AP55" s="43"/>
      <c r="AQ55" s="8" t="s">
        <v>58</v>
      </c>
      <c r="AR55" s="43"/>
      <c r="AS55" s="8"/>
      <c r="AT55" s="8"/>
      <c r="AU55" s="8"/>
      <c r="AV55" s="8"/>
      <c r="AW55" s="8"/>
      <c r="AX55" s="8"/>
      <c r="AY55" s="8"/>
      <c r="AZ55" s="8"/>
      <c r="BA55" s="8"/>
    </row>
    <row r="56" spans="1:53" s="22" customFormat="1" ht="15" x14ac:dyDescent="0.25">
      <c r="A56" s="57"/>
      <c r="B56" s="58" t="s">
        <v>59</v>
      </c>
      <c r="C56" s="223" t="s">
        <v>60</v>
      </c>
      <c r="D56" s="223"/>
      <c r="E56" s="223"/>
      <c r="F56" s="223"/>
      <c r="G56" s="223"/>
      <c r="H56" s="59" t="s">
        <v>61</v>
      </c>
      <c r="I56" s="63">
        <v>89</v>
      </c>
      <c r="J56" s="60"/>
      <c r="K56" s="63">
        <v>89</v>
      </c>
      <c r="L56" s="61"/>
      <c r="M56" s="60"/>
      <c r="N56" s="61"/>
      <c r="O56" s="60"/>
      <c r="P56" s="95">
        <f>P55*K56%</f>
        <v>3552.88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43"/>
      <c r="AN56" s="43"/>
      <c r="AO56" s="43"/>
      <c r="AP56" s="43"/>
      <c r="AQ56" s="8" t="s">
        <v>60</v>
      </c>
      <c r="AR56" s="43"/>
      <c r="AS56" s="8"/>
      <c r="AT56" s="8"/>
      <c r="AU56" s="8"/>
      <c r="AV56" s="8"/>
      <c r="AW56" s="8"/>
      <c r="AX56" s="8"/>
      <c r="AY56" s="8"/>
      <c r="AZ56" s="8"/>
      <c r="BA56" s="8"/>
    </row>
    <row r="57" spans="1:53" s="22" customFormat="1" ht="15" x14ac:dyDescent="0.25">
      <c r="A57" s="57"/>
      <c r="B57" s="58" t="s">
        <v>62</v>
      </c>
      <c r="C57" s="223" t="s">
        <v>63</v>
      </c>
      <c r="D57" s="223"/>
      <c r="E57" s="223"/>
      <c r="F57" s="223"/>
      <c r="G57" s="223"/>
      <c r="H57" s="59" t="s">
        <v>61</v>
      </c>
      <c r="I57" s="63">
        <v>40</v>
      </c>
      <c r="J57" s="60"/>
      <c r="K57" s="63">
        <v>40</v>
      </c>
      <c r="L57" s="61"/>
      <c r="M57" s="60"/>
      <c r="N57" s="61"/>
      <c r="O57" s="60"/>
      <c r="P57" s="95">
        <f>P55*K57%</f>
        <v>1596.8000000000002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43"/>
      <c r="AN57" s="43"/>
      <c r="AO57" s="43"/>
      <c r="AP57" s="43"/>
      <c r="AQ57" s="8" t="s">
        <v>63</v>
      </c>
      <c r="AR57" s="43"/>
      <c r="AS57" s="8"/>
      <c r="AT57" s="8"/>
      <c r="AU57" s="8"/>
      <c r="AV57" s="8"/>
      <c r="AW57" s="8"/>
      <c r="AX57" s="8"/>
      <c r="AY57" s="8"/>
      <c r="AZ57" s="8"/>
      <c r="BA57" s="8"/>
    </row>
    <row r="58" spans="1:53" s="22" customFormat="1" ht="15" x14ac:dyDescent="0.25">
      <c r="A58" s="64"/>
      <c r="B58" s="65"/>
      <c r="C58" s="222" t="s">
        <v>64</v>
      </c>
      <c r="D58" s="222"/>
      <c r="E58" s="222"/>
      <c r="F58" s="222"/>
      <c r="G58" s="222"/>
      <c r="H58" s="46"/>
      <c r="I58" s="47"/>
      <c r="J58" s="47"/>
      <c r="K58" s="47"/>
      <c r="L58" s="50"/>
      <c r="M58" s="47"/>
      <c r="N58" s="54">
        <v>70323.08</v>
      </c>
      <c r="O58" s="47"/>
      <c r="P58" s="96">
        <f>P54+P56+P57</f>
        <v>9141.68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43"/>
      <c r="AN58" s="43"/>
      <c r="AO58" s="43"/>
      <c r="AP58" s="43"/>
      <c r="AQ58" s="8"/>
      <c r="AR58" s="43" t="s">
        <v>64</v>
      </c>
      <c r="AS58" s="8"/>
      <c r="AT58" s="8"/>
      <c r="AU58" s="8"/>
      <c r="AV58" s="8"/>
      <c r="AW58" s="8"/>
      <c r="AX58" s="8"/>
      <c r="AY58" s="8"/>
      <c r="AZ58" s="8"/>
      <c r="BA58" s="8"/>
    </row>
    <row r="59" spans="1:53" s="22" customFormat="1" ht="23.25" x14ac:dyDescent="0.25">
      <c r="A59" s="44" t="s">
        <v>77</v>
      </c>
      <c r="B59" s="45" t="s">
        <v>164</v>
      </c>
      <c r="C59" s="224" t="s">
        <v>165</v>
      </c>
      <c r="D59" s="224"/>
      <c r="E59" s="224"/>
      <c r="F59" s="224"/>
      <c r="G59" s="224"/>
      <c r="H59" s="46" t="s">
        <v>162</v>
      </c>
      <c r="I59" s="47">
        <f>0.12/100*$O$34</f>
        <v>0.12</v>
      </c>
      <c r="J59" s="48">
        <v>1</v>
      </c>
      <c r="K59" s="49">
        <v>0.12</v>
      </c>
      <c r="L59" s="50"/>
      <c r="M59" s="47"/>
      <c r="N59" s="50"/>
      <c r="O59" s="47"/>
      <c r="P59" s="51"/>
      <c r="Q59" s="4"/>
      <c r="R59" s="4"/>
      <c r="S59" s="4"/>
      <c r="T59" s="4"/>
      <c r="U59" s="4"/>
      <c r="V59" s="4"/>
      <c r="W59" s="4"/>
      <c r="X59" s="4"/>
      <c r="Y59" s="4"/>
      <c r="Z59" s="4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43"/>
      <c r="AN59" s="43"/>
      <c r="AO59" s="43" t="s">
        <v>165</v>
      </c>
      <c r="AP59" s="43"/>
      <c r="AQ59" s="8"/>
      <c r="AR59" s="43"/>
      <c r="AS59" s="8"/>
      <c r="AT59" s="8"/>
      <c r="AU59" s="8"/>
      <c r="AV59" s="8"/>
      <c r="AW59" s="8"/>
      <c r="AX59" s="8"/>
      <c r="AY59" s="8"/>
      <c r="AZ59" s="8"/>
      <c r="BA59" s="8"/>
    </row>
    <row r="60" spans="1:53" s="22" customFormat="1" ht="15" x14ac:dyDescent="0.25">
      <c r="A60" s="52"/>
      <c r="B60" s="53"/>
      <c r="C60" s="222" t="s">
        <v>57</v>
      </c>
      <c r="D60" s="222"/>
      <c r="E60" s="222"/>
      <c r="F60" s="222"/>
      <c r="G60" s="222"/>
      <c r="H60" s="46"/>
      <c r="I60" s="47"/>
      <c r="J60" s="47"/>
      <c r="K60" s="47"/>
      <c r="L60" s="50"/>
      <c r="M60" s="47"/>
      <c r="N60" s="54"/>
      <c r="O60" s="47"/>
      <c r="P60" s="55">
        <f>707/100*$O$34</f>
        <v>707</v>
      </c>
      <c r="Q60" s="56"/>
      <c r="R60" s="56"/>
      <c r="S60" s="4"/>
      <c r="T60" s="4"/>
      <c r="U60" s="4"/>
      <c r="V60" s="4"/>
      <c r="W60" s="4"/>
      <c r="X60" s="4"/>
      <c r="Y60" s="4"/>
      <c r="Z60" s="4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43"/>
      <c r="AN60" s="43"/>
      <c r="AO60" s="43"/>
      <c r="AP60" s="43" t="s">
        <v>57</v>
      </c>
      <c r="AQ60" s="8"/>
      <c r="AR60" s="43"/>
      <c r="AS60" s="8"/>
      <c r="AT60" s="8"/>
      <c r="AU60" s="8"/>
      <c r="AV60" s="8"/>
      <c r="AW60" s="8"/>
      <c r="AX60" s="8"/>
      <c r="AY60" s="8"/>
      <c r="AZ60" s="8"/>
      <c r="BA60" s="8"/>
    </row>
    <row r="61" spans="1:53" s="22" customFormat="1" ht="15" x14ac:dyDescent="0.25">
      <c r="A61" s="57"/>
      <c r="B61" s="58"/>
      <c r="C61" s="223" t="s">
        <v>58</v>
      </c>
      <c r="D61" s="223"/>
      <c r="E61" s="223"/>
      <c r="F61" s="223"/>
      <c r="G61" s="223"/>
      <c r="H61" s="59"/>
      <c r="I61" s="60"/>
      <c r="J61" s="60"/>
      <c r="K61" s="60"/>
      <c r="L61" s="61"/>
      <c r="M61" s="60"/>
      <c r="N61" s="61"/>
      <c r="O61" s="60"/>
      <c r="P61" s="92"/>
      <c r="Q61" s="4"/>
      <c r="R61" s="4"/>
      <c r="S61" s="4"/>
      <c r="T61" s="4"/>
      <c r="U61" s="4"/>
      <c r="V61" s="4"/>
      <c r="W61" s="4"/>
      <c r="X61" s="4"/>
      <c r="Y61" s="4"/>
      <c r="Z61" s="4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43"/>
      <c r="AN61" s="43"/>
      <c r="AO61" s="43"/>
      <c r="AP61" s="43"/>
      <c r="AQ61" s="8" t="s">
        <v>58</v>
      </c>
      <c r="AR61" s="43"/>
      <c r="AS61" s="8"/>
      <c r="AT61" s="8"/>
      <c r="AU61" s="8"/>
      <c r="AV61" s="8"/>
      <c r="AW61" s="8"/>
      <c r="AX61" s="8"/>
      <c r="AY61" s="8"/>
      <c r="AZ61" s="8"/>
      <c r="BA61" s="8"/>
    </row>
    <row r="62" spans="1:53" s="22" customFormat="1" ht="23.25" x14ac:dyDescent="0.25">
      <c r="A62" s="57"/>
      <c r="B62" s="58" t="s">
        <v>73</v>
      </c>
      <c r="C62" s="223" t="s">
        <v>74</v>
      </c>
      <c r="D62" s="223"/>
      <c r="E62" s="223"/>
      <c r="F62" s="223"/>
      <c r="G62" s="223"/>
      <c r="H62" s="59" t="s">
        <v>61</v>
      </c>
      <c r="I62" s="63">
        <v>92</v>
      </c>
      <c r="J62" s="60"/>
      <c r="K62" s="63">
        <v>92</v>
      </c>
      <c r="L62" s="61"/>
      <c r="M62" s="60"/>
      <c r="N62" s="61"/>
      <c r="O62" s="60"/>
      <c r="P62" s="95">
        <f>P61*K62%</f>
        <v>0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43"/>
      <c r="AN62" s="43"/>
      <c r="AO62" s="43"/>
      <c r="AP62" s="43"/>
      <c r="AQ62" s="8" t="s">
        <v>74</v>
      </c>
      <c r="AR62" s="43"/>
      <c r="AS62" s="8"/>
      <c r="AT62" s="8"/>
      <c r="AU62" s="8"/>
      <c r="AV62" s="8"/>
      <c r="AW62" s="8"/>
      <c r="AX62" s="8"/>
      <c r="AY62" s="8"/>
      <c r="AZ62" s="8"/>
      <c r="BA62" s="8"/>
    </row>
    <row r="63" spans="1:53" s="22" customFormat="1" ht="23.25" x14ac:dyDescent="0.25">
      <c r="A63" s="57"/>
      <c r="B63" s="58" t="s">
        <v>75</v>
      </c>
      <c r="C63" s="223" t="s">
        <v>76</v>
      </c>
      <c r="D63" s="223"/>
      <c r="E63" s="223"/>
      <c r="F63" s="223"/>
      <c r="G63" s="223"/>
      <c r="H63" s="59" t="s">
        <v>61</v>
      </c>
      <c r="I63" s="63">
        <v>46</v>
      </c>
      <c r="J63" s="60"/>
      <c r="K63" s="63">
        <v>46</v>
      </c>
      <c r="L63" s="61"/>
      <c r="M63" s="60"/>
      <c r="N63" s="61"/>
      <c r="O63" s="60"/>
      <c r="P63" s="95">
        <f>P61*K63%</f>
        <v>0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43"/>
      <c r="AN63" s="43"/>
      <c r="AO63" s="43"/>
      <c r="AP63" s="43"/>
      <c r="AQ63" s="8" t="s">
        <v>76</v>
      </c>
      <c r="AR63" s="43"/>
      <c r="AS63" s="8"/>
      <c r="AT63" s="8"/>
      <c r="AU63" s="8"/>
      <c r="AV63" s="8"/>
      <c r="AW63" s="8"/>
      <c r="AX63" s="8"/>
      <c r="AY63" s="8"/>
      <c r="AZ63" s="8"/>
      <c r="BA63" s="8"/>
    </row>
    <row r="64" spans="1:53" s="22" customFormat="1" ht="15" x14ac:dyDescent="0.25">
      <c r="A64" s="64"/>
      <c r="B64" s="65"/>
      <c r="C64" s="222" t="s">
        <v>64</v>
      </c>
      <c r="D64" s="222"/>
      <c r="E64" s="222"/>
      <c r="F64" s="222"/>
      <c r="G64" s="222"/>
      <c r="H64" s="46"/>
      <c r="I64" s="47"/>
      <c r="J64" s="47"/>
      <c r="K64" s="47"/>
      <c r="L64" s="50"/>
      <c r="M64" s="47"/>
      <c r="N64" s="54">
        <v>5891.67</v>
      </c>
      <c r="O64" s="47"/>
      <c r="P64" s="96">
        <f>P60+P62+P63</f>
        <v>707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43"/>
      <c r="AN64" s="43"/>
      <c r="AO64" s="43"/>
      <c r="AP64" s="43"/>
      <c r="AQ64" s="8"/>
      <c r="AR64" s="43" t="s">
        <v>64</v>
      </c>
      <c r="AS64" s="8"/>
      <c r="AT64" s="8"/>
      <c r="AU64" s="8"/>
      <c r="AV64" s="8"/>
      <c r="AW64" s="8"/>
      <c r="AX64" s="8"/>
      <c r="AY64" s="8"/>
      <c r="AZ64" s="8"/>
      <c r="BA64" s="8"/>
    </row>
    <row r="65" spans="1:53" s="22" customFormat="1" ht="15" x14ac:dyDescent="0.25">
      <c r="A65" s="225" t="s">
        <v>68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7"/>
      <c r="Q65" s="4"/>
      <c r="R65" s="4"/>
      <c r="S65" s="4"/>
      <c r="T65" s="4"/>
      <c r="U65" s="4"/>
      <c r="V65" s="4"/>
      <c r="W65" s="4"/>
      <c r="X65" s="4"/>
      <c r="Y65" s="4"/>
      <c r="Z65" s="4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43"/>
      <c r="AN65" s="43" t="s">
        <v>68</v>
      </c>
      <c r="AO65" s="43"/>
      <c r="AP65" s="43"/>
      <c r="AQ65" s="8"/>
      <c r="AR65" s="43"/>
      <c r="AS65" s="8"/>
      <c r="AT65" s="8"/>
      <c r="AU65" s="8"/>
      <c r="AV65" s="8"/>
      <c r="AW65" s="8"/>
      <c r="AX65" s="8"/>
      <c r="AY65" s="8"/>
      <c r="AZ65" s="8"/>
      <c r="BA65" s="8"/>
    </row>
    <row r="66" spans="1:53" s="22" customFormat="1" ht="23.25" x14ac:dyDescent="0.25">
      <c r="A66" s="44" t="s">
        <v>81</v>
      </c>
      <c r="B66" s="45" t="s">
        <v>70</v>
      </c>
      <c r="C66" s="224" t="s">
        <v>71</v>
      </c>
      <c r="D66" s="224"/>
      <c r="E66" s="224"/>
      <c r="F66" s="224"/>
      <c r="G66" s="224"/>
      <c r="H66" s="46" t="s">
        <v>72</v>
      </c>
      <c r="I66" s="47">
        <f>1.03/100*$O$34</f>
        <v>1.03</v>
      </c>
      <c r="J66" s="48">
        <v>1</v>
      </c>
      <c r="K66" s="49">
        <v>1.03</v>
      </c>
      <c r="L66" s="50"/>
      <c r="M66" s="47"/>
      <c r="N66" s="50"/>
      <c r="O66" s="47"/>
      <c r="P66" s="51"/>
      <c r="Q66" s="4"/>
      <c r="R66" s="4"/>
      <c r="S66" s="4"/>
      <c r="T66" s="4"/>
      <c r="U66" s="4"/>
      <c r="V66" s="4"/>
      <c r="W66" s="4"/>
      <c r="X66" s="4"/>
      <c r="Y66" s="4"/>
      <c r="Z66" s="4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43"/>
      <c r="AN66" s="43"/>
      <c r="AO66" s="43" t="s">
        <v>71</v>
      </c>
      <c r="AP66" s="43"/>
      <c r="AQ66" s="8"/>
      <c r="AR66" s="43"/>
      <c r="AS66" s="8"/>
      <c r="AT66" s="8"/>
      <c r="AU66" s="8"/>
      <c r="AV66" s="8"/>
      <c r="AW66" s="8"/>
      <c r="AX66" s="8"/>
      <c r="AY66" s="8"/>
      <c r="AZ66" s="8"/>
      <c r="BA66" s="8"/>
    </row>
    <row r="67" spans="1:53" s="22" customFormat="1" ht="15" x14ac:dyDescent="0.25">
      <c r="A67" s="52"/>
      <c r="B67" s="53"/>
      <c r="C67" s="222" t="s">
        <v>57</v>
      </c>
      <c r="D67" s="222"/>
      <c r="E67" s="222"/>
      <c r="F67" s="222"/>
      <c r="G67" s="222"/>
      <c r="H67" s="46"/>
      <c r="I67" s="47"/>
      <c r="J67" s="47"/>
      <c r="K67" s="47"/>
      <c r="L67" s="50"/>
      <c r="M67" s="47"/>
      <c r="N67" s="54"/>
      <c r="O67" s="47"/>
      <c r="P67" s="55">
        <f>19131/100*$O$34</f>
        <v>19131</v>
      </c>
      <c r="Q67" s="56"/>
      <c r="R67" s="56"/>
      <c r="S67" s="4"/>
      <c r="T67" s="4"/>
      <c r="U67" s="4"/>
      <c r="V67" s="4"/>
      <c r="W67" s="4"/>
      <c r="X67" s="4"/>
      <c r="Y67" s="4"/>
      <c r="Z67" s="4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43"/>
      <c r="AN67" s="43"/>
      <c r="AO67" s="43"/>
      <c r="AP67" s="43" t="s">
        <v>57</v>
      </c>
      <c r="AQ67" s="8"/>
      <c r="AR67" s="43"/>
      <c r="AS67" s="8"/>
      <c r="AT67" s="8"/>
      <c r="AU67" s="8"/>
      <c r="AV67" s="8"/>
      <c r="AW67" s="8"/>
      <c r="AX67" s="8"/>
      <c r="AY67" s="8"/>
      <c r="AZ67" s="8"/>
      <c r="BA67" s="8"/>
    </row>
    <row r="68" spans="1:53" s="22" customFormat="1" ht="15" x14ac:dyDescent="0.25">
      <c r="A68" s="57"/>
      <c r="B68" s="58"/>
      <c r="C68" s="223" t="s">
        <v>58</v>
      </c>
      <c r="D68" s="223"/>
      <c r="E68" s="223"/>
      <c r="F68" s="223"/>
      <c r="G68" s="223"/>
      <c r="H68" s="59"/>
      <c r="I68" s="60"/>
      <c r="J68" s="60"/>
      <c r="K68" s="60"/>
      <c r="L68" s="61"/>
      <c r="M68" s="60"/>
      <c r="N68" s="61"/>
      <c r="O68" s="60"/>
      <c r="P68" s="62">
        <f>1987/100*$O$34</f>
        <v>1987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43"/>
      <c r="AN68" s="43"/>
      <c r="AO68" s="43"/>
      <c r="AP68" s="43"/>
      <c r="AQ68" s="8" t="s">
        <v>58</v>
      </c>
      <c r="AR68" s="43"/>
      <c r="AS68" s="8"/>
      <c r="AT68" s="8"/>
      <c r="AU68" s="8"/>
      <c r="AV68" s="8"/>
      <c r="AW68" s="8"/>
      <c r="AX68" s="8"/>
      <c r="AY68" s="8"/>
      <c r="AZ68" s="8"/>
      <c r="BA68" s="8"/>
    </row>
    <row r="69" spans="1:53" s="22" customFormat="1" ht="23.25" x14ac:dyDescent="0.25">
      <c r="A69" s="57"/>
      <c r="B69" s="58" t="s">
        <v>73</v>
      </c>
      <c r="C69" s="223" t="s">
        <v>74</v>
      </c>
      <c r="D69" s="223"/>
      <c r="E69" s="223"/>
      <c r="F69" s="223"/>
      <c r="G69" s="223"/>
      <c r="H69" s="59" t="s">
        <v>61</v>
      </c>
      <c r="I69" s="63">
        <v>92</v>
      </c>
      <c r="J69" s="60"/>
      <c r="K69" s="63">
        <v>92</v>
      </c>
      <c r="L69" s="61"/>
      <c r="M69" s="60"/>
      <c r="N69" s="61"/>
      <c r="O69" s="60"/>
      <c r="P69" s="95">
        <f>P68*K69%</f>
        <v>1828.0400000000002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43"/>
      <c r="AN69" s="43"/>
      <c r="AO69" s="43"/>
      <c r="AP69" s="43"/>
      <c r="AQ69" s="8" t="s">
        <v>74</v>
      </c>
      <c r="AR69" s="43"/>
      <c r="AS69" s="8"/>
      <c r="AT69" s="8"/>
      <c r="AU69" s="8"/>
      <c r="AV69" s="8"/>
      <c r="AW69" s="8"/>
      <c r="AX69" s="8"/>
      <c r="AY69" s="8"/>
      <c r="AZ69" s="8"/>
      <c r="BA69" s="8"/>
    </row>
    <row r="70" spans="1:53" s="22" customFormat="1" ht="23.25" x14ac:dyDescent="0.25">
      <c r="A70" s="57"/>
      <c r="B70" s="58" t="s">
        <v>75</v>
      </c>
      <c r="C70" s="223" t="s">
        <v>76</v>
      </c>
      <c r="D70" s="223"/>
      <c r="E70" s="223"/>
      <c r="F70" s="223"/>
      <c r="G70" s="223"/>
      <c r="H70" s="59" t="s">
        <v>61</v>
      </c>
      <c r="I70" s="63">
        <v>46</v>
      </c>
      <c r="J70" s="60"/>
      <c r="K70" s="63">
        <v>46</v>
      </c>
      <c r="L70" s="61"/>
      <c r="M70" s="60"/>
      <c r="N70" s="61"/>
      <c r="O70" s="60"/>
      <c r="P70" s="95">
        <f>P68*K70%</f>
        <v>914.0200000000001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43"/>
      <c r="AN70" s="43"/>
      <c r="AO70" s="43"/>
      <c r="AP70" s="43"/>
      <c r="AQ70" s="8" t="s">
        <v>76</v>
      </c>
      <c r="AR70" s="43"/>
      <c r="AS70" s="8"/>
      <c r="AT70" s="8"/>
      <c r="AU70" s="8"/>
      <c r="AV70" s="8"/>
      <c r="AW70" s="8"/>
      <c r="AX70" s="8"/>
      <c r="AY70" s="8"/>
      <c r="AZ70" s="8"/>
      <c r="BA70" s="8"/>
    </row>
    <row r="71" spans="1:53" s="22" customFormat="1" ht="15" x14ac:dyDescent="0.25">
      <c r="A71" s="64"/>
      <c r="B71" s="65"/>
      <c r="C71" s="222" t="s">
        <v>64</v>
      </c>
      <c r="D71" s="222"/>
      <c r="E71" s="222"/>
      <c r="F71" s="222"/>
      <c r="G71" s="222"/>
      <c r="H71" s="46"/>
      <c r="I71" s="47"/>
      <c r="J71" s="47"/>
      <c r="K71" s="47"/>
      <c r="L71" s="50"/>
      <c r="M71" s="47"/>
      <c r="N71" s="54">
        <v>21235.919999999998</v>
      </c>
      <c r="O71" s="47"/>
      <c r="P71" s="96">
        <f>P67+P69+P70</f>
        <v>21873.06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43"/>
      <c r="AN71" s="43"/>
      <c r="AO71" s="43"/>
      <c r="AP71" s="43"/>
      <c r="AQ71" s="8"/>
      <c r="AR71" s="43" t="s">
        <v>64</v>
      </c>
      <c r="AS71" s="8"/>
      <c r="AT71" s="8"/>
      <c r="AU71" s="8"/>
      <c r="AV71" s="8"/>
      <c r="AW71" s="8"/>
      <c r="AX71" s="8"/>
      <c r="AY71" s="8"/>
      <c r="AZ71" s="8"/>
      <c r="BA71" s="8"/>
    </row>
    <row r="72" spans="1:53" s="22" customFormat="1" ht="23.25" x14ac:dyDescent="0.25">
      <c r="A72" s="44" t="s">
        <v>89</v>
      </c>
      <c r="B72" s="45" t="s">
        <v>78</v>
      </c>
      <c r="C72" s="224" t="s">
        <v>166</v>
      </c>
      <c r="D72" s="224"/>
      <c r="E72" s="224"/>
      <c r="F72" s="224"/>
      <c r="G72" s="224"/>
      <c r="H72" s="46" t="s">
        <v>56</v>
      </c>
      <c r="I72" s="47">
        <f>2.8/100*$O$34</f>
        <v>2.8</v>
      </c>
      <c r="J72" s="48">
        <v>1</v>
      </c>
      <c r="K72" s="67">
        <v>2.8</v>
      </c>
      <c r="L72" s="50"/>
      <c r="M72" s="47"/>
      <c r="N72" s="50"/>
      <c r="O72" s="47"/>
      <c r="P72" s="51"/>
      <c r="Q72" s="4"/>
      <c r="R72" s="4"/>
      <c r="S72" s="4"/>
      <c r="T72" s="4"/>
      <c r="U72" s="4"/>
      <c r="V72" s="4"/>
      <c r="W72" s="4"/>
      <c r="X72" s="4"/>
      <c r="Y72" s="4"/>
      <c r="Z72" s="4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43"/>
      <c r="AN72" s="43"/>
      <c r="AO72" s="43" t="s">
        <v>166</v>
      </c>
      <c r="AP72" s="43"/>
      <c r="AQ72" s="8"/>
      <c r="AR72" s="43"/>
      <c r="AS72" s="8"/>
      <c r="AT72" s="8"/>
      <c r="AU72" s="8"/>
      <c r="AV72" s="8"/>
      <c r="AW72" s="8"/>
      <c r="AX72" s="8"/>
      <c r="AY72" s="8"/>
      <c r="AZ72" s="8"/>
      <c r="BA72" s="8"/>
    </row>
    <row r="73" spans="1:53" s="22" customFormat="1" ht="15" x14ac:dyDescent="0.25">
      <c r="A73" s="52"/>
      <c r="B73" s="53"/>
      <c r="C73" s="222" t="s">
        <v>57</v>
      </c>
      <c r="D73" s="222"/>
      <c r="E73" s="222"/>
      <c r="F73" s="222"/>
      <c r="G73" s="222"/>
      <c r="H73" s="46"/>
      <c r="I73" s="47"/>
      <c r="J73" s="47"/>
      <c r="K73" s="47"/>
      <c r="L73" s="50"/>
      <c r="M73" s="47"/>
      <c r="N73" s="54"/>
      <c r="O73" s="47"/>
      <c r="P73" s="55">
        <f>16465/100*$O$34</f>
        <v>16465</v>
      </c>
      <c r="Q73" s="56"/>
      <c r="R73" s="56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43"/>
      <c r="AN73" s="43"/>
      <c r="AO73" s="43"/>
      <c r="AP73" s="43" t="s">
        <v>57</v>
      </c>
      <c r="AQ73" s="8"/>
      <c r="AR73" s="43"/>
      <c r="AS73" s="8"/>
      <c r="AT73" s="8"/>
      <c r="AU73" s="8"/>
      <c r="AV73" s="8"/>
      <c r="AW73" s="8"/>
      <c r="AX73" s="8"/>
      <c r="AY73" s="8"/>
      <c r="AZ73" s="8"/>
      <c r="BA73" s="8"/>
    </row>
    <row r="74" spans="1:53" s="22" customFormat="1" ht="15" x14ac:dyDescent="0.25">
      <c r="A74" s="57"/>
      <c r="B74" s="58"/>
      <c r="C74" s="223" t="s">
        <v>58</v>
      </c>
      <c r="D74" s="223"/>
      <c r="E74" s="223"/>
      <c r="F74" s="223"/>
      <c r="G74" s="223"/>
      <c r="H74" s="59"/>
      <c r="I74" s="60"/>
      <c r="J74" s="60"/>
      <c r="K74" s="60"/>
      <c r="L74" s="61"/>
      <c r="M74" s="60"/>
      <c r="N74" s="61"/>
      <c r="O74" s="60"/>
      <c r="P74" s="62">
        <f>13862/100*$O$34</f>
        <v>13862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43"/>
      <c r="AN74" s="43"/>
      <c r="AO74" s="43"/>
      <c r="AP74" s="43"/>
      <c r="AQ74" s="8" t="s">
        <v>58</v>
      </c>
      <c r="AR74" s="43"/>
      <c r="AS74" s="8"/>
      <c r="AT74" s="8"/>
      <c r="AU74" s="8"/>
      <c r="AV74" s="8"/>
      <c r="AW74" s="8"/>
      <c r="AX74" s="8"/>
      <c r="AY74" s="8"/>
      <c r="AZ74" s="8"/>
      <c r="BA74" s="8"/>
    </row>
    <row r="75" spans="1:53" s="22" customFormat="1" ht="23.25" x14ac:dyDescent="0.25">
      <c r="A75" s="57"/>
      <c r="B75" s="58" t="s">
        <v>73</v>
      </c>
      <c r="C75" s="223" t="s">
        <v>74</v>
      </c>
      <c r="D75" s="223"/>
      <c r="E75" s="223"/>
      <c r="F75" s="223"/>
      <c r="G75" s="223"/>
      <c r="H75" s="59" t="s">
        <v>61</v>
      </c>
      <c r="I75" s="63">
        <v>92</v>
      </c>
      <c r="J75" s="60"/>
      <c r="K75" s="63">
        <v>92</v>
      </c>
      <c r="L75" s="61"/>
      <c r="M75" s="60"/>
      <c r="N75" s="61"/>
      <c r="O75" s="60"/>
      <c r="P75" s="95">
        <f>P74*K75%</f>
        <v>12753.04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43"/>
      <c r="AN75" s="43"/>
      <c r="AO75" s="43"/>
      <c r="AP75" s="43"/>
      <c r="AQ75" s="8" t="s">
        <v>74</v>
      </c>
      <c r="AR75" s="43"/>
      <c r="AS75" s="8"/>
      <c r="AT75" s="8"/>
      <c r="AU75" s="8"/>
      <c r="AV75" s="8"/>
      <c r="AW75" s="8"/>
      <c r="AX75" s="8"/>
      <c r="AY75" s="8"/>
      <c r="AZ75" s="8"/>
      <c r="BA75" s="8"/>
    </row>
    <row r="76" spans="1:53" s="22" customFormat="1" ht="23.25" x14ac:dyDescent="0.25">
      <c r="A76" s="57"/>
      <c r="B76" s="58" t="s">
        <v>75</v>
      </c>
      <c r="C76" s="223" t="s">
        <v>76</v>
      </c>
      <c r="D76" s="223"/>
      <c r="E76" s="223"/>
      <c r="F76" s="223"/>
      <c r="G76" s="223"/>
      <c r="H76" s="59" t="s">
        <v>61</v>
      </c>
      <c r="I76" s="63">
        <v>46</v>
      </c>
      <c r="J76" s="60"/>
      <c r="K76" s="63">
        <v>46</v>
      </c>
      <c r="L76" s="61"/>
      <c r="M76" s="60"/>
      <c r="N76" s="61"/>
      <c r="O76" s="60"/>
      <c r="P76" s="95">
        <f>P74*K76%</f>
        <v>6376.52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43"/>
      <c r="AN76" s="43"/>
      <c r="AO76" s="43"/>
      <c r="AP76" s="43"/>
      <c r="AQ76" s="8" t="s">
        <v>76</v>
      </c>
      <c r="AR76" s="43"/>
      <c r="AS76" s="8"/>
      <c r="AT76" s="8"/>
      <c r="AU76" s="8"/>
      <c r="AV76" s="8"/>
      <c r="AW76" s="8"/>
      <c r="AX76" s="8"/>
      <c r="AY76" s="8"/>
      <c r="AZ76" s="8"/>
      <c r="BA76" s="8"/>
    </row>
    <row r="77" spans="1:53" s="22" customFormat="1" ht="15" x14ac:dyDescent="0.25">
      <c r="A77" s="64"/>
      <c r="B77" s="65"/>
      <c r="C77" s="222" t="s">
        <v>64</v>
      </c>
      <c r="D77" s="222"/>
      <c r="E77" s="222"/>
      <c r="F77" s="222"/>
      <c r="G77" s="222"/>
      <c r="H77" s="46"/>
      <c r="I77" s="47"/>
      <c r="J77" s="47"/>
      <c r="K77" s="47"/>
      <c r="L77" s="50"/>
      <c r="M77" s="47"/>
      <c r="N77" s="54">
        <v>12712.5</v>
      </c>
      <c r="O77" s="47"/>
      <c r="P77" s="96">
        <f>P73+P75+P76</f>
        <v>35594.559999999998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43"/>
      <c r="AN77" s="43"/>
      <c r="AO77" s="43"/>
      <c r="AP77" s="43"/>
      <c r="AQ77" s="8"/>
      <c r="AR77" s="43" t="s">
        <v>64</v>
      </c>
      <c r="AS77" s="8"/>
      <c r="AT77" s="8"/>
      <c r="AU77" s="8"/>
      <c r="AV77" s="8"/>
      <c r="AW77" s="8"/>
      <c r="AX77" s="8"/>
      <c r="AY77" s="8"/>
      <c r="AZ77" s="8"/>
      <c r="BA77" s="8"/>
    </row>
    <row r="78" spans="1:53" s="22" customFormat="1" ht="15" x14ac:dyDescent="0.25">
      <c r="A78" s="225" t="s">
        <v>80</v>
      </c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7"/>
      <c r="Q78" s="4"/>
      <c r="R78" s="4"/>
      <c r="S78" s="4"/>
      <c r="T78" s="4"/>
      <c r="U78" s="4"/>
      <c r="V78" s="4"/>
      <c r="W78" s="4"/>
      <c r="X78" s="4"/>
      <c r="Y78" s="4"/>
      <c r="Z78" s="4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43"/>
      <c r="AN78" s="43" t="s">
        <v>80</v>
      </c>
      <c r="AO78" s="43"/>
      <c r="AP78" s="43"/>
      <c r="AQ78" s="8"/>
      <c r="AR78" s="43"/>
      <c r="AS78" s="8"/>
      <c r="AT78" s="8"/>
      <c r="AU78" s="8"/>
      <c r="AV78" s="8"/>
      <c r="AW78" s="8"/>
      <c r="AX78" s="8"/>
      <c r="AY78" s="8"/>
      <c r="AZ78" s="8"/>
      <c r="BA78" s="8"/>
    </row>
    <row r="79" spans="1:53" s="22" customFormat="1" ht="34.5" x14ac:dyDescent="0.25">
      <c r="A79" s="44" t="s">
        <v>93</v>
      </c>
      <c r="B79" s="45" t="s">
        <v>82</v>
      </c>
      <c r="C79" s="224" t="s">
        <v>83</v>
      </c>
      <c r="D79" s="224"/>
      <c r="E79" s="224"/>
      <c r="F79" s="224"/>
      <c r="G79" s="224"/>
      <c r="H79" s="46" t="s">
        <v>84</v>
      </c>
      <c r="I79" s="47">
        <f>3.3/100*$O$34</f>
        <v>3.3000000000000003</v>
      </c>
      <c r="J79" s="48">
        <v>1</v>
      </c>
      <c r="K79" s="67">
        <v>3.3</v>
      </c>
      <c r="L79" s="50"/>
      <c r="M79" s="47"/>
      <c r="N79" s="50"/>
      <c r="O79" s="47"/>
      <c r="P79" s="51"/>
      <c r="Q79" s="4"/>
      <c r="R79" s="4"/>
      <c r="S79" s="4"/>
      <c r="T79" s="4"/>
      <c r="U79" s="4"/>
      <c r="V79" s="4"/>
      <c r="W79" s="4"/>
      <c r="X79" s="4"/>
      <c r="Y79" s="4"/>
      <c r="Z79" s="4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43"/>
      <c r="AN79" s="43"/>
      <c r="AO79" s="43" t="s">
        <v>83</v>
      </c>
      <c r="AP79" s="43"/>
      <c r="AQ79" s="8"/>
      <c r="AR79" s="43"/>
      <c r="AS79" s="8"/>
      <c r="AT79" s="8"/>
      <c r="AU79" s="8"/>
      <c r="AV79" s="8"/>
      <c r="AW79" s="8"/>
      <c r="AX79" s="8"/>
      <c r="AY79" s="8"/>
      <c r="AZ79" s="8"/>
      <c r="BA79" s="8"/>
    </row>
    <row r="80" spans="1:53" s="22" customFormat="1" ht="15" x14ac:dyDescent="0.25">
      <c r="A80" s="52"/>
      <c r="B80" s="53"/>
      <c r="C80" s="222" t="s">
        <v>57</v>
      </c>
      <c r="D80" s="222"/>
      <c r="E80" s="222"/>
      <c r="F80" s="222"/>
      <c r="G80" s="222"/>
      <c r="H80" s="46"/>
      <c r="I80" s="47"/>
      <c r="J80" s="47"/>
      <c r="K80" s="47"/>
      <c r="L80" s="50"/>
      <c r="M80" s="47"/>
      <c r="N80" s="54"/>
      <c r="O80" s="47"/>
      <c r="P80" s="55">
        <f>40473/100*$O$34</f>
        <v>40473</v>
      </c>
      <c r="Q80" s="56"/>
      <c r="R80" s="56"/>
      <c r="S80" s="4"/>
      <c r="T80" s="4"/>
      <c r="U80" s="4"/>
      <c r="V80" s="4"/>
      <c r="W80" s="4"/>
      <c r="X80" s="4"/>
      <c r="Y80" s="4"/>
      <c r="Z80" s="4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43"/>
      <c r="AN80" s="43"/>
      <c r="AO80" s="43"/>
      <c r="AP80" s="43" t="s">
        <v>57</v>
      </c>
      <c r="AQ80" s="8"/>
      <c r="AR80" s="43"/>
      <c r="AS80" s="8"/>
      <c r="AT80" s="8"/>
      <c r="AU80" s="8"/>
      <c r="AV80" s="8"/>
      <c r="AW80" s="8"/>
      <c r="AX80" s="8"/>
      <c r="AY80" s="8"/>
      <c r="AZ80" s="8"/>
      <c r="BA80" s="8"/>
    </row>
    <row r="81" spans="1:53" s="22" customFormat="1" ht="15" x14ac:dyDescent="0.25">
      <c r="A81" s="57"/>
      <c r="B81" s="58"/>
      <c r="C81" s="223" t="s">
        <v>58</v>
      </c>
      <c r="D81" s="223"/>
      <c r="E81" s="223"/>
      <c r="F81" s="223"/>
      <c r="G81" s="223"/>
      <c r="H81" s="59"/>
      <c r="I81" s="60"/>
      <c r="J81" s="60"/>
      <c r="K81" s="60"/>
      <c r="L81" s="61"/>
      <c r="M81" s="60"/>
      <c r="N81" s="61"/>
      <c r="O81" s="60"/>
      <c r="P81" s="62">
        <f>40377/100*$O$34</f>
        <v>40377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43"/>
      <c r="AN81" s="43"/>
      <c r="AO81" s="43"/>
      <c r="AP81" s="43"/>
      <c r="AQ81" s="8" t="s">
        <v>58</v>
      </c>
      <c r="AR81" s="43"/>
      <c r="AS81" s="8"/>
      <c r="AT81" s="8"/>
      <c r="AU81" s="8"/>
      <c r="AV81" s="8"/>
      <c r="AW81" s="8"/>
      <c r="AX81" s="8"/>
      <c r="AY81" s="8"/>
      <c r="AZ81" s="8"/>
      <c r="BA81" s="8"/>
    </row>
    <row r="82" spans="1:53" s="22" customFormat="1" ht="23.25" x14ac:dyDescent="0.25">
      <c r="A82" s="57"/>
      <c r="B82" s="58" t="s">
        <v>85</v>
      </c>
      <c r="C82" s="223" t="s">
        <v>86</v>
      </c>
      <c r="D82" s="223"/>
      <c r="E82" s="223"/>
      <c r="F82" s="223"/>
      <c r="G82" s="223"/>
      <c r="H82" s="59" t="s">
        <v>61</v>
      </c>
      <c r="I82" s="63">
        <v>89</v>
      </c>
      <c r="J82" s="60"/>
      <c r="K82" s="63">
        <v>89</v>
      </c>
      <c r="L82" s="61"/>
      <c r="M82" s="60"/>
      <c r="N82" s="61"/>
      <c r="O82" s="60"/>
      <c r="P82" s="95">
        <f>P81*K82%</f>
        <v>35935.53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43"/>
      <c r="AN82" s="43"/>
      <c r="AO82" s="43"/>
      <c r="AP82" s="43"/>
      <c r="AQ82" s="8" t="s">
        <v>86</v>
      </c>
      <c r="AR82" s="43"/>
      <c r="AS82" s="8"/>
      <c r="AT82" s="8"/>
      <c r="AU82" s="8"/>
      <c r="AV82" s="8"/>
      <c r="AW82" s="8"/>
      <c r="AX82" s="8"/>
      <c r="AY82" s="8"/>
      <c r="AZ82" s="8"/>
      <c r="BA82" s="8"/>
    </row>
    <row r="83" spans="1:53" s="22" customFormat="1" ht="23.25" x14ac:dyDescent="0.25">
      <c r="A83" s="57"/>
      <c r="B83" s="58" t="s">
        <v>87</v>
      </c>
      <c r="C83" s="223" t="s">
        <v>88</v>
      </c>
      <c r="D83" s="223"/>
      <c r="E83" s="223"/>
      <c r="F83" s="223"/>
      <c r="G83" s="223"/>
      <c r="H83" s="59" t="s">
        <v>61</v>
      </c>
      <c r="I83" s="63">
        <v>41</v>
      </c>
      <c r="J83" s="60"/>
      <c r="K83" s="63">
        <v>41</v>
      </c>
      <c r="L83" s="61"/>
      <c r="M83" s="60"/>
      <c r="N83" s="61"/>
      <c r="O83" s="60"/>
      <c r="P83" s="95">
        <f>P81*K83%</f>
        <v>16554.57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43"/>
      <c r="AN83" s="43"/>
      <c r="AO83" s="43"/>
      <c r="AP83" s="43"/>
      <c r="AQ83" s="8" t="s">
        <v>88</v>
      </c>
      <c r="AR83" s="43"/>
      <c r="AS83" s="8"/>
      <c r="AT83" s="8"/>
      <c r="AU83" s="8"/>
      <c r="AV83" s="8"/>
      <c r="AW83" s="8"/>
      <c r="AX83" s="8"/>
      <c r="AY83" s="8"/>
      <c r="AZ83" s="8"/>
      <c r="BA83" s="8"/>
    </row>
    <row r="84" spans="1:53" s="22" customFormat="1" ht="15" x14ac:dyDescent="0.25">
      <c r="A84" s="64"/>
      <c r="B84" s="65"/>
      <c r="C84" s="222" t="s">
        <v>64</v>
      </c>
      <c r="D84" s="222"/>
      <c r="E84" s="222"/>
      <c r="F84" s="222"/>
      <c r="G84" s="222"/>
      <c r="H84" s="46"/>
      <c r="I84" s="47"/>
      <c r="J84" s="47"/>
      <c r="K84" s="47"/>
      <c r="L84" s="50"/>
      <c r="M84" s="47"/>
      <c r="N84" s="54">
        <v>28170.91</v>
      </c>
      <c r="O84" s="47"/>
      <c r="P84" s="96">
        <f>P80+P82+P83</f>
        <v>92963.1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43"/>
      <c r="AN84" s="43"/>
      <c r="AO84" s="43"/>
      <c r="AP84" s="43"/>
      <c r="AQ84" s="8"/>
      <c r="AR84" s="43" t="s">
        <v>64</v>
      </c>
      <c r="AS84" s="8"/>
      <c r="AT84" s="8"/>
      <c r="AU84" s="8"/>
      <c r="AV84" s="8"/>
      <c r="AW84" s="8"/>
      <c r="AX84" s="8"/>
      <c r="AY84" s="8"/>
      <c r="AZ84" s="8"/>
      <c r="BA84" s="8"/>
    </row>
    <row r="85" spans="1:53" s="22" customFormat="1" ht="15" x14ac:dyDescent="0.25">
      <c r="A85" s="44" t="s">
        <v>97</v>
      </c>
      <c r="B85" s="45" t="s">
        <v>90</v>
      </c>
      <c r="C85" s="224" t="s">
        <v>91</v>
      </c>
      <c r="D85" s="224"/>
      <c r="E85" s="224"/>
      <c r="F85" s="224"/>
      <c r="G85" s="224"/>
      <c r="H85" s="46" t="s">
        <v>92</v>
      </c>
      <c r="I85" s="47">
        <f>4.2/100*$O$34</f>
        <v>4.2</v>
      </c>
      <c r="J85" s="48">
        <v>1</v>
      </c>
      <c r="K85" s="67">
        <v>4.2</v>
      </c>
      <c r="L85" s="68">
        <v>149.15</v>
      </c>
      <c r="M85" s="49">
        <v>0.96</v>
      </c>
      <c r="N85" s="68">
        <v>143.18</v>
      </c>
      <c r="O85" s="47"/>
      <c r="P85" s="96">
        <f>N85*I85</f>
        <v>601.35600000000011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43"/>
      <c r="AN85" s="43"/>
      <c r="AO85" s="43" t="s">
        <v>91</v>
      </c>
      <c r="AP85" s="43"/>
      <c r="AQ85" s="8"/>
      <c r="AR85" s="43"/>
      <c r="AS85" s="8"/>
      <c r="AT85" s="8"/>
      <c r="AU85" s="8"/>
      <c r="AV85" s="8"/>
      <c r="AW85" s="8"/>
      <c r="AX85" s="8"/>
      <c r="AY85" s="8"/>
      <c r="AZ85" s="8"/>
      <c r="BA85" s="8"/>
    </row>
    <row r="86" spans="1:53" s="22" customFormat="1" ht="15" x14ac:dyDescent="0.25">
      <c r="A86" s="64"/>
      <c r="B86" s="65"/>
      <c r="C86" s="222" t="s">
        <v>64</v>
      </c>
      <c r="D86" s="222"/>
      <c r="E86" s="222"/>
      <c r="F86" s="222"/>
      <c r="G86" s="222"/>
      <c r="H86" s="46"/>
      <c r="I86" s="47"/>
      <c r="J86" s="47"/>
      <c r="K86" s="47"/>
      <c r="L86" s="50"/>
      <c r="M86" s="47"/>
      <c r="N86" s="50"/>
      <c r="O86" s="47"/>
      <c r="P86" s="96">
        <f>P85</f>
        <v>601.35600000000011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43"/>
      <c r="AN86" s="43"/>
      <c r="AO86" s="43"/>
      <c r="AP86" s="43"/>
      <c r="AQ86" s="8"/>
      <c r="AR86" s="43" t="s">
        <v>64</v>
      </c>
      <c r="AS86" s="8"/>
      <c r="AT86" s="8"/>
      <c r="AU86" s="8"/>
      <c r="AV86" s="8"/>
      <c r="AW86" s="8"/>
      <c r="AX86" s="8"/>
      <c r="AY86" s="8"/>
      <c r="AZ86" s="8"/>
      <c r="BA86" s="8"/>
    </row>
    <row r="87" spans="1:53" s="22" customFormat="1" ht="15" x14ac:dyDescent="0.25">
      <c r="A87" s="44" t="s">
        <v>104</v>
      </c>
      <c r="B87" s="45" t="s">
        <v>94</v>
      </c>
      <c r="C87" s="224" t="s">
        <v>95</v>
      </c>
      <c r="D87" s="224"/>
      <c r="E87" s="224"/>
      <c r="F87" s="224"/>
      <c r="G87" s="224"/>
      <c r="H87" s="46" t="s">
        <v>96</v>
      </c>
      <c r="I87" s="47">
        <f>128.205/100*$O$34</f>
        <v>128.20500000000001</v>
      </c>
      <c r="J87" s="48">
        <v>1</v>
      </c>
      <c r="K87" s="70">
        <v>128.20500000000001</v>
      </c>
      <c r="L87" s="54">
        <v>1062.45</v>
      </c>
      <c r="M87" s="49">
        <v>1.03</v>
      </c>
      <c r="N87" s="54">
        <v>1094.32</v>
      </c>
      <c r="O87" s="47"/>
      <c r="P87" s="96">
        <f>N87*I87</f>
        <v>140297.29560000001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43"/>
      <c r="AN87" s="43"/>
      <c r="AO87" s="43" t="s">
        <v>95</v>
      </c>
      <c r="AP87" s="43"/>
      <c r="AQ87" s="8"/>
      <c r="AR87" s="43"/>
      <c r="AS87" s="8"/>
      <c r="AT87" s="8"/>
      <c r="AU87" s="8"/>
      <c r="AV87" s="8"/>
      <c r="AW87" s="8"/>
      <c r="AX87" s="8"/>
      <c r="AY87" s="8"/>
      <c r="AZ87" s="8"/>
      <c r="BA87" s="8"/>
    </row>
    <row r="88" spans="1:53" s="22" customFormat="1" ht="15" x14ac:dyDescent="0.25">
      <c r="A88" s="64"/>
      <c r="B88" s="65"/>
      <c r="C88" s="222" t="s">
        <v>64</v>
      </c>
      <c r="D88" s="222"/>
      <c r="E88" s="222"/>
      <c r="F88" s="222"/>
      <c r="G88" s="222"/>
      <c r="H88" s="46"/>
      <c r="I88" s="47"/>
      <c r="J88" s="47"/>
      <c r="K88" s="47"/>
      <c r="L88" s="50"/>
      <c r="M88" s="47"/>
      <c r="N88" s="50"/>
      <c r="O88" s="47"/>
      <c r="P88" s="96">
        <f>P87</f>
        <v>140297.29560000001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43"/>
      <c r="AN88" s="43"/>
      <c r="AO88" s="43"/>
      <c r="AP88" s="43"/>
      <c r="AQ88" s="8"/>
      <c r="AR88" s="43" t="s">
        <v>64</v>
      </c>
      <c r="AS88" s="8"/>
      <c r="AT88" s="8"/>
      <c r="AU88" s="8"/>
      <c r="AV88" s="8"/>
      <c r="AW88" s="8"/>
      <c r="AX88" s="8"/>
      <c r="AY88" s="8"/>
      <c r="AZ88" s="8"/>
      <c r="BA88" s="8"/>
    </row>
    <row r="89" spans="1:53" s="22" customFormat="1" ht="34.5" x14ac:dyDescent="0.25">
      <c r="A89" s="44" t="s">
        <v>108</v>
      </c>
      <c r="B89" s="45" t="s">
        <v>98</v>
      </c>
      <c r="C89" s="224" t="s">
        <v>99</v>
      </c>
      <c r="D89" s="224"/>
      <c r="E89" s="224"/>
      <c r="F89" s="224"/>
      <c r="G89" s="224"/>
      <c r="H89" s="46" t="s">
        <v>72</v>
      </c>
      <c r="I89" s="47">
        <f>1/100*$O$34</f>
        <v>1</v>
      </c>
      <c r="J89" s="48">
        <v>1</v>
      </c>
      <c r="K89" s="48">
        <v>1</v>
      </c>
      <c r="L89" s="50"/>
      <c r="M89" s="47"/>
      <c r="N89" s="50"/>
      <c r="O89" s="47"/>
      <c r="P89" s="51"/>
      <c r="Q89" s="4"/>
      <c r="R89" s="4"/>
      <c r="S89" s="4"/>
      <c r="T89" s="4"/>
      <c r="U89" s="4"/>
      <c r="V89" s="4"/>
      <c r="W89" s="4"/>
      <c r="X89" s="4"/>
      <c r="Y89" s="4"/>
      <c r="Z89" s="4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43"/>
      <c r="AN89" s="43"/>
      <c r="AO89" s="43" t="s">
        <v>99</v>
      </c>
      <c r="AP89" s="43"/>
      <c r="AQ89" s="8"/>
      <c r="AR89" s="43"/>
      <c r="AS89" s="8"/>
      <c r="AT89" s="8"/>
      <c r="AU89" s="8"/>
      <c r="AV89" s="8"/>
      <c r="AW89" s="8"/>
      <c r="AX89" s="8"/>
      <c r="AY89" s="8"/>
      <c r="AZ89" s="8"/>
      <c r="BA89" s="8"/>
    </row>
    <row r="90" spans="1:53" s="22" customFormat="1" ht="15" x14ac:dyDescent="0.25">
      <c r="A90" s="52"/>
      <c r="B90" s="53"/>
      <c r="C90" s="222" t="s">
        <v>57</v>
      </c>
      <c r="D90" s="222"/>
      <c r="E90" s="222"/>
      <c r="F90" s="222"/>
      <c r="G90" s="222"/>
      <c r="H90" s="46"/>
      <c r="I90" s="47"/>
      <c r="J90" s="47"/>
      <c r="K90" s="47"/>
      <c r="L90" s="50"/>
      <c r="M90" s="47"/>
      <c r="N90" s="54"/>
      <c r="O90" s="47"/>
      <c r="P90" s="55">
        <f>15491/100*$O$34</f>
        <v>15491</v>
      </c>
      <c r="Q90" s="56"/>
      <c r="R90" s="56"/>
      <c r="S90" s="4"/>
      <c r="T90" s="4"/>
      <c r="U90" s="4"/>
      <c r="V90" s="4"/>
      <c r="W90" s="4"/>
      <c r="X90" s="4"/>
      <c r="Y90" s="4"/>
      <c r="Z90" s="4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43"/>
      <c r="AN90" s="43"/>
      <c r="AO90" s="43"/>
      <c r="AP90" s="43" t="s">
        <v>57</v>
      </c>
      <c r="AQ90" s="8"/>
      <c r="AR90" s="43"/>
      <c r="AS90" s="8"/>
      <c r="AT90" s="8"/>
      <c r="AU90" s="8"/>
      <c r="AV90" s="8"/>
      <c r="AW90" s="8"/>
      <c r="AX90" s="8"/>
      <c r="AY90" s="8"/>
      <c r="AZ90" s="8"/>
      <c r="BA90" s="8"/>
    </row>
    <row r="91" spans="1:53" s="22" customFormat="1" ht="15" x14ac:dyDescent="0.25">
      <c r="A91" s="57"/>
      <c r="B91" s="58"/>
      <c r="C91" s="223" t="s">
        <v>58</v>
      </c>
      <c r="D91" s="223"/>
      <c r="E91" s="223"/>
      <c r="F91" s="223"/>
      <c r="G91" s="223"/>
      <c r="H91" s="59"/>
      <c r="I91" s="60"/>
      <c r="J91" s="60"/>
      <c r="K91" s="60"/>
      <c r="L91" s="61"/>
      <c r="M91" s="60"/>
      <c r="N91" s="61"/>
      <c r="O91" s="60"/>
      <c r="P91" s="62">
        <f>15321/100*$O$34</f>
        <v>15321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43"/>
      <c r="AN91" s="43"/>
      <c r="AO91" s="43"/>
      <c r="AP91" s="43"/>
      <c r="AQ91" s="8" t="s">
        <v>58</v>
      </c>
      <c r="AR91" s="43"/>
      <c r="AS91" s="8"/>
      <c r="AT91" s="8"/>
      <c r="AU91" s="8"/>
      <c r="AV91" s="8"/>
      <c r="AW91" s="8"/>
      <c r="AX91" s="8"/>
      <c r="AY91" s="8"/>
      <c r="AZ91" s="8"/>
      <c r="BA91" s="8"/>
    </row>
    <row r="92" spans="1:53" s="22" customFormat="1" ht="15" x14ac:dyDescent="0.25">
      <c r="A92" s="57"/>
      <c r="B92" s="58" t="s">
        <v>100</v>
      </c>
      <c r="C92" s="223" t="s">
        <v>101</v>
      </c>
      <c r="D92" s="223"/>
      <c r="E92" s="223"/>
      <c r="F92" s="223"/>
      <c r="G92" s="223"/>
      <c r="H92" s="59" t="s">
        <v>61</v>
      </c>
      <c r="I92" s="63">
        <v>147</v>
      </c>
      <c r="J92" s="60"/>
      <c r="K92" s="63">
        <v>147</v>
      </c>
      <c r="L92" s="61"/>
      <c r="M92" s="60"/>
      <c r="N92" s="61"/>
      <c r="O92" s="60"/>
      <c r="P92" s="95">
        <f>P91*K92%</f>
        <v>22521.87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43"/>
      <c r="AN92" s="43"/>
      <c r="AO92" s="43"/>
      <c r="AP92" s="43"/>
      <c r="AQ92" s="8" t="s">
        <v>101</v>
      </c>
      <c r="AR92" s="43"/>
      <c r="AS92" s="8"/>
      <c r="AT92" s="8"/>
      <c r="AU92" s="8"/>
      <c r="AV92" s="8"/>
      <c r="AW92" s="8"/>
      <c r="AX92" s="8"/>
      <c r="AY92" s="8"/>
      <c r="AZ92" s="8"/>
      <c r="BA92" s="8"/>
    </row>
    <row r="93" spans="1:53" s="22" customFormat="1" ht="15" x14ac:dyDescent="0.25">
      <c r="A93" s="57"/>
      <c r="B93" s="58" t="s">
        <v>102</v>
      </c>
      <c r="C93" s="223" t="s">
        <v>103</v>
      </c>
      <c r="D93" s="223"/>
      <c r="E93" s="223"/>
      <c r="F93" s="223"/>
      <c r="G93" s="223"/>
      <c r="H93" s="59" t="s">
        <v>61</v>
      </c>
      <c r="I93" s="63">
        <v>134</v>
      </c>
      <c r="J93" s="60"/>
      <c r="K93" s="63">
        <v>134</v>
      </c>
      <c r="L93" s="61"/>
      <c r="M93" s="60"/>
      <c r="N93" s="61"/>
      <c r="O93" s="60"/>
      <c r="P93" s="95">
        <f>P91*K93%</f>
        <v>20530.14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43"/>
      <c r="AN93" s="43"/>
      <c r="AO93" s="43"/>
      <c r="AP93" s="43"/>
      <c r="AQ93" s="8" t="s">
        <v>103</v>
      </c>
      <c r="AR93" s="43"/>
      <c r="AS93" s="8"/>
      <c r="AT93" s="8"/>
      <c r="AU93" s="8"/>
      <c r="AV93" s="8"/>
      <c r="AW93" s="8"/>
      <c r="AX93" s="8"/>
      <c r="AY93" s="8"/>
      <c r="AZ93" s="8"/>
      <c r="BA93" s="8"/>
    </row>
    <row r="94" spans="1:53" s="22" customFormat="1" ht="15" x14ac:dyDescent="0.25">
      <c r="A94" s="64"/>
      <c r="B94" s="65"/>
      <c r="C94" s="222" t="s">
        <v>64</v>
      </c>
      <c r="D94" s="222"/>
      <c r="E94" s="222"/>
      <c r="F94" s="222"/>
      <c r="G94" s="222"/>
      <c r="H94" s="46"/>
      <c r="I94" s="47"/>
      <c r="J94" s="47"/>
      <c r="K94" s="47"/>
      <c r="L94" s="50"/>
      <c r="M94" s="47"/>
      <c r="N94" s="54">
        <v>58543</v>
      </c>
      <c r="O94" s="47"/>
      <c r="P94" s="96">
        <f>P90+P92+P93</f>
        <v>58543.009999999995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43"/>
      <c r="AN94" s="43"/>
      <c r="AO94" s="43"/>
      <c r="AP94" s="43"/>
      <c r="AQ94" s="8"/>
      <c r="AR94" s="43" t="s">
        <v>64</v>
      </c>
      <c r="AS94" s="8"/>
      <c r="AT94" s="8"/>
      <c r="AU94" s="8"/>
      <c r="AV94" s="8"/>
      <c r="AW94" s="8"/>
      <c r="AX94" s="8"/>
      <c r="AY94" s="8"/>
      <c r="AZ94" s="8"/>
      <c r="BA94" s="8"/>
    </row>
    <row r="95" spans="1:53" s="22" customFormat="1" ht="23.25" x14ac:dyDescent="0.25">
      <c r="A95" s="44" t="s">
        <v>115</v>
      </c>
      <c r="B95" s="45" t="s">
        <v>105</v>
      </c>
      <c r="C95" s="224" t="s">
        <v>106</v>
      </c>
      <c r="D95" s="224"/>
      <c r="E95" s="224"/>
      <c r="F95" s="224"/>
      <c r="G95" s="224"/>
      <c r="H95" s="46" t="s">
        <v>107</v>
      </c>
      <c r="I95" s="47">
        <f>1200/100*$O$34</f>
        <v>1200</v>
      </c>
      <c r="J95" s="48">
        <v>1</v>
      </c>
      <c r="K95" s="48">
        <v>1200</v>
      </c>
      <c r="L95" s="68">
        <v>44.74</v>
      </c>
      <c r="M95" s="49">
        <v>1.07</v>
      </c>
      <c r="N95" s="68">
        <v>47.87</v>
      </c>
      <c r="O95" s="47"/>
      <c r="P95" s="96">
        <f>N95*I95</f>
        <v>57444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43"/>
      <c r="AN95" s="43"/>
      <c r="AO95" s="43" t="s">
        <v>106</v>
      </c>
      <c r="AP95" s="43"/>
      <c r="AQ95" s="8"/>
      <c r="AR95" s="43"/>
      <c r="AS95" s="8"/>
      <c r="AT95" s="8"/>
      <c r="AU95" s="8"/>
      <c r="AV95" s="8"/>
      <c r="AW95" s="8"/>
      <c r="AX95" s="8"/>
      <c r="AY95" s="8"/>
      <c r="AZ95" s="8"/>
      <c r="BA95" s="8"/>
    </row>
    <row r="96" spans="1:53" s="22" customFormat="1" ht="15" x14ac:dyDescent="0.25">
      <c r="A96" s="64"/>
      <c r="B96" s="65"/>
      <c r="C96" s="222" t="s">
        <v>64</v>
      </c>
      <c r="D96" s="222"/>
      <c r="E96" s="222"/>
      <c r="F96" s="222"/>
      <c r="G96" s="222"/>
      <c r="H96" s="46"/>
      <c r="I96" s="47"/>
      <c r="J96" s="47"/>
      <c r="K96" s="47"/>
      <c r="L96" s="50"/>
      <c r="M96" s="47"/>
      <c r="N96" s="50"/>
      <c r="O96" s="47"/>
      <c r="P96" s="96">
        <f>P95</f>
        <v>57444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43"/>
      <c r="AN96" s="43"/>
      <c r="AO96" s="43"/>
      <c r="AP96" s="43"/>
      <c r="AQ96" s="8"/>
      <c r="AR96" s="43" t="s">
        <v>64</v>
      </c>
      <c r="AS96" s="8"/>
      <c r="AT96" s="8"/>
      <c r="AU96" s="8"/>
      <c r="AV96" s="8"/>
      <c r="AW96" s="8"/>
      <c r="AX96" s="8"/>
      <c r="AY96" s="8"/>
      <c r="AZ96" s="8"/>
      <c r="BA96" s="8"/>
    </row>
    <row r="97" spans="1:53" s="22" customFormat="1" ht="34.5" x14ac:dyDescent="0.25">
      <c r="A97" s="44" t="s">
        <v>119</v>
      </c>
      <c r="B97" s="45" t="s">
        <v>217</v>
      </c>
      <c r="C97" s="224" t="s">
        <v>218</v>
      </c>
      <c r="D97" s="224"/>
      <c r="E97" s="224"/>
      <c r="F97" s="224"/>
      <c r="G97" s="224"/>
      <c r="H97" s="46" t="s">
        <v>96</v>
      </c>
      <c r="I97" s="47">
        <f>198/100*$O$34</f>
        <v>198</v>
      </c>
      <c r="J97" s="48">
        <v>1</v>
      </c>
      <c r="K97" s="48">
        <v>198</v>
      </c>
      <c r="L97" s="50"/>
      <c r="M97" s="47"/>
      <c r="N97" s="50"/>
      <c r="O97" s="47"/>
      <c r="P97" s="51"/>
      <c r="Q97" s="4"/>
      <c r="R97" s="4"/>
      <c r="S97" s="4"/>
      <c r="T97" s="4"/>
      <c r="U97" s="4"/>
      <c r="V97" s="4"/>
      <c r="W97" s="4"/>
      <c r="X97" s="4"/>
      <c r="Y97" s="4"/>
      <c r="Z97" s="4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43"/>
      <c r="AN97" s="43"/>
      <c r="AO97" s="43" t="s">
        <v>218</v>
      </c>
      <c r="AP97" s="43"/>
      <c r="AQ97" s="8"/>
      <c r="AR97" s="43"/>
      <c r="AS97" s="8"/>
      <c r="AT97" s="8"/>
      <c r="AU97" s="8"/>
      <c r="AV97" s="8"/>
      <c r="AW97" s="8"/>
      <c r="AX97" s="8"/>
      <c r="AY97" s="8"/>
      <c r="AZ97" s="8"/>
      <c r="BA97" s="8"/>
    </row>
    <row r="98" spans="1:53" s="22" customFormat="1" ht="15" x14ac:dyDescent="0.25">
      <c r="A98" s="52"/>
      <c r="B98" s="53"/>
      <c r="C98" s="222" t="s">
        <v>57</v>
      </c>
      <c r="D98" s="222"/>
      <c r="E98" s="222"/>
      <c r="F98" s="222"/>
      <c r="G98" s="222"/>
      <c r="H98" s="46"/>
      <c r="I98" s="47"/>
      <c r="J98" s="47"/>
      <c r="K98" s="47"/>
      <c r="L98" s="50"/>
      <c r="M98" s="47"/>
      <c r="N98" s="54"/>
      <c r="O98" s="47"/>
      <c r="P98" s="55">
        <f>76294/100*$O$34</f>
        <v>76294</v>
      </c>
      <c r="Q98" s="56"/>
      <c r="R98" s="56"/>
      <c r="S98" s="4"/>
      <c r="T98" s="4"/>
      <c r="U98" s="4"/>
      <c r="V98" s="4"/>
      <c r="W98" s="4"/>
      <c r="X98" s="4"/>
      <c r="Y98" s="4"/>
      <c r="Z98" s="4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43"/>
      <c r="AN98" s="43"/>
      <c r="AO98" s="43"/>
      <c r="AP98" s="43" t="s">
        <v>57</v>
      </c>
      <c r="AQ98" s="8"/>
      <c r="AR98" s="43"/>
      <c r="AS98" s="8"/>
      <c r="AT98" s="8"/>
      <c r="AU98" s="8"/>
      <c r="AV98" s="8"/>
      <c r="AW98" s="8"/>
      <c r="AX98" s="8"/>
      <c r="AY98" s="8"/>
      <c r="AZ98" s="8"/>
      <c r="BA98" s="8"/>
    </row>
    <row r="99" spans="1:53" s="22" customFormat="1" ht="15" x14ac:dyDescent="0.25">
      <c r="A99" s="57"/>
      <c r="B99" s="58"/>
      <c r="C99" s="223" t="s">
        <v>58</v>
      </c>
      <c r="D99" s="223"/>
      <c r="E99" s="223"/>
      <c r="F99" s="223"/>
      <c r="G99" s="223"/>
      <c r="H99" s="59"/>
      <c r="I99" s="60"/>
      <c r="J99" s="60"/>
      <c r="K99" s="60"/>
      <c r="L99" s="61"/>
      <c r="M99" s="60"/>
      <c r="N99" s="61"/>
      <c r="O99" s="60"/>
      <c r="P99" s="62">
        <f>56917/100*$O$34</f>
        <v>56916.999999999993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43"/>
      <c r="AN99" s="43"/>
      <c r="AO99" s="43"/>
      <c r="AP99" s="43"/>
      <c r="AQ99" s="8" t="s">
        <v>58</v>
      </c>
      <c r="AR99" s="43"/>
      <c r="AS99" s="8"/>
      <c r="AT99" s="8"/>
      <c r="AU99" s="8"/>
      <c r="AV99" s="8"/>
      <c r="AW99" s="8"/>
      <c r="AX99" s="8"/>
      <c r="AY99" s="8"/>
      <c r="AZ99" s="8"/>
      <c r="BA99" s="8"/>
    </row>
    <row r="100" spans="1:53" s="22" customFormat="1" ht="15" x14ac:dyDescent="0.25">
      <c r="A100" s="57"/>
      <c r="B100" s="58" t="s">
        <v>133</v>
      </c>
      <c r="C100" s="223" t="s">
        <v>134</v>
      </c>
      <c r="D100" s="223"/>
      <c r="E100" s="223"/>
      <c r="F100" s="223"/>
      <c r="G100" s="223"/>
      <c r="H100" s="59" t="s">
        <v>61</v>
      </c>
      <c r="I100" s="63">
        <v>110</v>
      </c>
      <c r="J100" s="60"/>
      <c r="K100" s="63">
        <v>110</v>
      </c>
      <c r="L100" s="61"/>
      <c r="M100" s="60"/>
      <c r="N100" s="61"/>
      <c r="O100" s="60"/>
      <c r="P100" s="95">
        <f>P99*K100%</f>
        <v>62608.7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43"/>
      <c r="AN100" s="43"/>
      <c r="AO100" s="43"/>
      <c r="AP100" s="43"/>
      <c r="AQ100" s="8" t="s">
        <v>134</v>
      </c>
      <c r="AR100" s="43"/>
      <c r="AS100" s="8"/>
      <c r="AT100" s="8"/>
      <c r="AU100" s="8"/>
      <c r="AV100" s="8"/>
      <c r="AW100" s="8"/>
      <c r="AX100" s="8"/>
      <c r="AY100" s="8"/>
      <c r="AZ100" s="8"/>
      <c r="BA100" s="8"/>
    </row>
    <row r="101" spans="1:53" s="22" customFormat="1" ht="15" x14ac:dyDescent="0.25">
      <c r="A101" s="57"/>
      <c r="B101" s="58" t="s">
        <v>135</v>
      </c>
      <c r="C101" s="223" t="s">
        <v>136</v>
      </c>
      <c r="D101" s="223"/>
      <c r="E101" s="223"/>
      <c r="F101" s="223"/>
      <c r="G101" s="223"/>
      <c r="H101" s="59" t="s">
        <v>61</v>
      </c>
      <c r="I101" s="63">
        <v>69</v>
      </c>
      <c r="J101" s="60"/>
      <c r="K101" s="63">
        <v>69</v>
      </c>
      <c r="L101" s="61"/>
      <c r="M101" s="60"/>
      <c r="N101" s="61"/>
      <c r="O101" s="60"/>
      <c r="P101" s="95">
        <f>P99*K101%</f>
        <v>39272.729999999989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43"/>
      <c r="AN101" s="43"/>
      <c r="AO101" s="43"/>
      <c r="AP101" s="43"/>
      <c r="AQ101" s="8" t="s">
        <v>136</v>
      </c>
      <c r="AR101" s="43"/>
      <c r="AS101" s="8"/>
      <c r="AT101" s="8"/>
      <c r="AU101" s="8"/>
      <c r="AV101" s="8"/>
      <c r="AW101" s="8"/>
      <c r="AX101" s="8"/>
      <c r="AY101" s="8"/>
      <c r="AZ101" s="8"/>
      <c r="BA101" s="8"/>
    </row>
    <row r="102" spans="1:53" s="22" customFormat="1" ht="15" x14ac:dyDescent="0.25">
      <c r="A102" s="64"/>
      <c r="B102" s="65"/>
      <c r="C102" s="222" t="s">
        <v>64</v>
      </c>
      <c r="D102" s="222"/>
      <c r="E102" s="222"/>
      <c r="F102" s="222"/>
      <c r="G102" s="222"/>
      <c r="H102" s="46"/>
      <c r="I102" s="47"/>
      <c r="J102" s="47"/>
      <c r="K102" s="47"/>
      <c r="L102" s="50"/>
      <c r="M102" s="47"/>
      <c r="N102" s="68">
        <v>899.88</v>
      </c>
      <c r="O102" s="47"/>
      <c r="P102" s="96">
        <f>P98+P100+P101</f>
        <v>178175.43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43"/>
      <c r="AN102" s="43"/>
      <c r="AO102" s="43"/>
      <c r="AP102" s="43"/>
      <c r="AQ102" s="8"/>
      <c r="AR102" s="43" t="s">
        <v>64</v>
      </c>
      <c r="AS102" s="8"/>
      <c r="AT102" s="8"/>
      <c r="AU102" s="8"/>
      <c r="AV102" s="8"/>
      <c r="AW102" s="8"/>
      <c r="AX102" s="8"/>
      <c r="AY102" s="8"/>
      <c r="AZ102" s="8"/>
      <c r="BA102" s="8"/>
    </row>
    <row r="103" spans="1:53" s="22" customFormat="1" ht="15" x14ac:dyDescent="0.25">
      <c r="A103" s="44" t="s">
        <v>127</v>
      </c>
      <c r="B103" s="45" t="s">
        <v>219</v>
      </c>
      <c r="C103" s="224" t="s">
        <v>220</v>
      </c>
      <c r="D103" s="224"/>
      <c r="E103" s="224"/>
      <c r="F103" s="224"/>
      <c r="G103" s="224"/>
      <c r="H103" s="46" t="s">
        <v>96</v>
      </c>
      <c r="I103" s="47">
        <f>217.8/100*$O$34</f>
        <v>217.79999999999998</v>
      </c>
      <c r="J103" s="48">
        <v>1</v>
      </c>
      <c r="K103" s="67">
        <v>217.8</v>
      </c>
      <c r="L103" s="50"/>
      <c r="M103" s="47"/>
      <c r="N103" s="68">
        <v>721.05</v>
      </c>
      <c r="O103" s="47"/>
      <c r="P103" s="96">
        <f>N103*I103</f>
        <v>157044.68999999997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43"/>
      <c r="AN103" s="43"/>
      <c r="AO103" s="43" t="s">
        <v>220</v>
      </c>
      <c r="AP103" s="43"/>
      <c r="AQ103" s="8"/>
      <c r="AR103" s="43"/>
      <c r="AS103" s="8"/>
      <c r="AT103" s="8"/>
      <c r="AU103" s="8"/>
      <c r="AV103" s="8"/>
      <c r="AW103" s="8"/>
      <c r="AX103" s="8"/>
      <c r="AY103" s="8"/>
      <c r="AZ103" s="8"/>
      <c r="BA103" s="8"/>
    </row>
    <row r="104" spans="1:53" s="22" customFormat="1" ht="15" x14ac:dyDescent="0.25">
      <c r="A104" s="64"/>
      <c r="B104" s="65"/>
      <c r="C104" s="222" t="s">
        <v>64</v>
      </c>
      <c r="D104" s="222"/>
      <c r="E104" s="222"/>
      <c r="F104" s="222"/>
      <c r="G104" s="222"/>
      <c r="H104" s="46"/>
      <c r="I104" s="47"/>
      <c r="J104" s="47"/>
      <c r="K104" s="47"/>
      <c r="L104" s="50"/>
      <c r="M104" s="47"/>
      <c r="N104" s="50"/>
      <c r="O104" s="47"/>
      <c r="P104" s="96">
        <f>P103</f>
        <v>157044.68999999997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43"/>
      <c r="AN104" s="43"/>
      <c r="AO104" s="43"/>
      <c r="AP104" s="43"/>
      <c r="AQ104" s="8"/>
      <c r="AR104" s="43" t="s">
        <v>64</v>
      </c>
      <c r="AS104" s="8"/>
      <c r="AT104" s="8"/>
      <c r="AU104" s="8"/>
      <c r="AV104" s="8"/>
      <c r="AW104" s="8"/>
      <c r="AX104" s="8"/>
      <c r="AY104" s="8"/>
      <c r="AZ104" s="8"/>
      <c r="BA104" s="8"/>
    </row>
    <row r="105" spans="1:53" s="22" customFormat="1" ht="23.25" x14ac:dyDescent="0.25">
      <c r="A105" s="44" t="s">
        <v>130</v>
      </c>
      <c r="B105" s="45" t="s">
        <v>221</v>
      </c>
      <c r="C105" s="224" t="s">
        <v>222</v>
      </c>
      <c r="D105" s="224"/>
      <c r="E105" s="224"/>
      <c r="F105" s="224"/>
      <c r="G105" s="224"/>
      <c r="H105" s="46" t="s">
        <v>223</v>
      </c>
      <c r="I105" s="47">
        <f>10/100*$O$34</f>
        <v>10</v>
      </c>
      <c r="J105" s="48">
        <v>1</v>
      </c>
      <c r="K105" s="48">
        <v>10</v>
      </c>
      <c r="L105" s="50"/>
      <c r="M105" s="47"/>
      <c r="N105" s="50"/>
      <c r="O105" s="47"/>
      <c r="P105" s="51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43"/>
      <c r="AN105" s="43"/>
      <c r="AO105" s="43" t="s">
        <v>222</v>
      </c>
      <c r="AP105" s="43"/>
      <c r="AQ105" s="8"/>
      <c r="AR105" s="43"/>
      <c r="AS105" s="8"/>
      <c r="AT105" s="8"/>
      <c r="AU105" s="8"/>
      <c r="AV105" s="8"/>
      <c r="AW105" s="8"/>
      <c r="AX105" s="8"/>
      <c r="AY105" s="8"/>
      <c r="AZ105" s="8"/>
      <c r="BA105" s="8"/>
    </row>
    <row r="106" spans="1:53" s="22" customFormat="1" ht="15" x14ac:dyDescent="0.25">
      <c r="A106" s="52"/>
      <c r="B106" s="53"/>
      <c r="C106" s="222" t="s">
        <v>57</v>
      </c>
      <c r="D106" s="222"/>
      <c r="E106" s="222"/>
      <c r="F106" s="222"/>
      <c r="G106" s="222"/>
      <c r="H106" s="46"/>
      <c r="I106" s="47"/>
      <c r="J106" s="47"/>
      <c r="K106" s="47"/>
      <c r="L106" s="50"/>
      <c r="M106" s="47"/>
      <c r="N106" s="54"/>
      <c r="O106" s="47"/>
      <c r="P106" s="55">
        <f>861930/100*$O$34</f>
        <v>861929.99999999988</v>
      </c>
      <c r="Q106" s="56"/>
      <c r="R106" s="56"/>
      <c r="S106" s="4"/>
      <c r="T106" s="4"/>
      <c r="U106" s="4"/>
      <c r="V106" s="4"/>
      <c r="W106" s="4"/>
      <c r="X106" s="4"/>
      <c r="Y106" s="4"/>
      <c r="Z106" s="4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43"/>
      <c r="AN106" s="43"/>
      <c r="AO106" s="43"/>
      <c r="AP106" s="43" t="s">
        <v>57</v>
      </c>
      <c r="AQ106" s="8"/>
      <c r="AR106" s="43"/>
      <c r="AS106" s="8"/>
      <c r="AT106" s="8"/>
      <c r="AU106" s="8"/>
      <c r="AV106" s="8"/>
      <c r="AW106" s="8"/>
      <c r="AX106" s="8"/>
      <c r="AY106" s="8"/>
      <c r="AZ106" s="8"/>
      <c r="BA106" s="8"/>
    </row>
    <row r="107" spans="1:53" s="22" customFormat="1" ht="15" x14ac:dyDescent="0.25">
      <c r="A107" s="57"/>
      <c r="B107" s="58"/>
      <c r="C107" s="223" t="s">
        <v>58</v>
      </c>
      <c r="D107" s="223"/>
      <c r="E107" s="223"/>
      <c r="F107" s="223"/>
      <c r="G107" s="223"/>
      <c r="H107" s="59"/>
      <c r="I107" s="60"/>
      <c r="J107" s="60"/>
      <c r="K107" s="60"/>
      <c r="L107" s="61"/>
      <c r="M107" s="60"/>
      <c r="N107" s="61"/>
      <c r="O107" s="60"/>
      <c r="P107" s="62">
        <f>776457/100*$O$34</f>
        <v>776457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43"/>
      <c r="AN107" s="43"/>
      <c r="AO107" s="43"/>
      <c r="AP107" s="43"/>
      <c r="AQ107" s="8" t="s">
        <v>58</v>
      </c>
      <c r="AR107" s="43"/>
      <c r="AS107" s="8"/>
      <c r="AT107" s="8"/>
      <c r="AU107" s="8"/>
      <c r="AV107" s="8"/>
      <c r="AW107" s="8"/>
      <c r="AX107" s="8"/>
      <c r="AY107" s="8"/>
      <c r="AZ107" s="8"/>
      <c r="BA107" s="8"/>
    </row>
    <row r="108" spans="1:53" s="22" customFormat="1" ht="15" x14ac:dyDescent="0.25">
      <c r="A108" s="57"/>
      <c r="B108" s="58" t="s">
        <v>224</v>
      </c>
      <c r="C108" s="223" t="s">
        <v>225</v>
      </c>
      <c r="D108" s="223"/>
      <c r="E108" s="223"/>
      <c r="F108" s="223"/>
      <c r="G108" s="223"/>
      <c r="H108" s="59" t="s">
        <v>61</v>
      </c>
      <c r="I108" s="63">
        <v>140</v>
      </c>
      <c r="J108" s="60"/>
      <c r="K108" s="63">
        <v>140</v>
      </c>
      <c r="L108" s="61"/>
      <c r="M108" s="60"/>
      <c r="N108" s="61"/>
      <c r="O108" s="60"/>
      <c r="P108" s="95">
        <f>P107*K108%</f>
        <v>1087039.8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43"/>
      <c r="AN108" s="43"/>
      <c r="AO108" s="43"/>
      <c r="AP108" s="43"/>
      <c r="AQ108" s="8" t="s">
        <v>225</v>
      </c>
      <c r="AR108" s="43"/>
      <c r="AS108" s="8"/>
      <c r="AT108" s="8"/>
      <c r="AU108" s="8"/>
      <c r="AV108" s="8"/>
      <c r="AW108" s="8"/>
      <c r="AX108" s="8"/>
      <c r="AY108" s="8"/>
      <c r="AZ108" s="8"/>
      <c r="BA108" s="8"/>
    </row>
    <row r="109" spans="1:53" s="22" customFormat="1" ht="15" x14ac:dyDescent="0.25">
      <c r="A109" s="57"/>
      <c r="B109" s="58" t="s">
        <v>226</v>
      </c>
      <c r="C109" s="223" t="s">
        <v>227</v>
      </c>
      <c r="D109" s="223"/>
      <c r="E109" s="223"/>
      <c r="F109" s="223"/>
      <c r="G109" s="223"/>
      <c r="H109" s="59" t="s">
        <v>61</v>
      </c>
      <c r="I109" s="63">
        <v>93</v>
      </c>
      <c r="J109" s="60"/>
      <c r="K109" s="63">
        <v>93</v>
      </c>
      <c r="L109" s="61"/>
      <c r="M109" s="60"/>
      <c r="N109" s="61"/>
      <c r="O109" s="60"/>
      <c r="P109" s="95">
        <f>P107*K109%</f>
        <v>722105.01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43"/>
      <c r="AN109" s="43"/>
      <c r="AO109" s="43"/>
      <c r="AP109" s="43"/>
      <c r="AQ109" s="8" t="s">
        <v>227</v>
      </c>
      <c r="AR109" s="43"/>
      <c r="AS109" s="8"/>
      <c r="AT109" s="8"/>
      <c r="AU109" s="8"/>
      <c r="AV109" s="8"/>
      <c r="AW109" s="8"/>
      <c r="AX109" s="8"/>
      <c r="AY109" s="8"/>
      <c r="AZ109" s="8"/>
      <c r="BA109" s="8"/>
    </row>
    <row r="110" spans="1:53" s="22" customFormat="1" ht="15" x14ac:dyDescent="0.25">
      <c r="A110" s="64"/>
      <c r="B110" s="65"/>
      <c r="C110" s="222" t="s">
        <v>64</v>
      </c>
      <c r="D110" s="222"/>
      <c r="E110" s="222"/>
      <c r="F110" s="222"/>
      <c r="G110" s="222"/>
      <c r="H110" s="46"/>
      <c r="I110" s="47"/>
      <c r="J110" s="47"/>
      <c r="K110" s="47"/>
      <c r="L110" s="50"/>
      <c r="M110" s="47"/>
      <c r="N110" s="54">
        <v>267107.5</v>
      </c>
      <c r="O110" s="47"/>
      <c r="P110" s="96">
        <f>P106+P108+P109</f>
        <v>2671074.8099999996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43"/>
      <c r="AN110" s="43"/>
      <c r="AO110" s="43"/>
      <c r="AP110" s="43"/>
      <c r="AQ110" s="8"/>
      <c r="AR110" s="43" t="s">
        <v>64</v>
      </c>
      <c r="AS110" s="8"/>
      <c r="AT110" s="8"/>
      <c r="AU110" s="8"/>
      <c r="AV110" s="8"/>
      <c r="AW110" s="8"/>
      <c r="AX110" s="8"/>
      <c r="AY110" s="8"/>
      <c r="AZ110" s="8"/>
      <c r="BA110" s="8"/>
    </row>
    <row r="111" spans="1:53" s="22" customFormat="1" ht="15" x14ac:dyDescent="0.25">
      <c r="A111" s="44" t="s">
        <v>137</v>
      </c>
      <c r="B111" s="45" t="s">
        <v>228</v>
      </c>
      <c r="C111" s="224" t="s">
        <v>229</v>
      </c>
      <c r="D111" s="224"/>
      <c r="E111" s="224"/>
      <c r="F111" s="224"/>
      <c r="G111" s="224"/>
      <c r="H111" s="46" t="s">
        <v>96</v>
      </c>
      <c r="I111" s="47">
        <f>10/100*$O$34</f>
        <v>10</v>
      </c>
      <c r="J111" s="48">
        <v>1</v>
      </c>
      <c r="K111" s="48">
        <v>10</v>
      </c>
      <c r="L111" s="68">
        <v>951.95</v>
      </c>
      <c r="M111" s="49">
        <v>1.1200000000000001</v>
      </c>
      <c r="N111" s="54">
        <v>1066.18</v>
      </c>
      <c r="O111" s="47"/>
      <c r="P111" s="96">
        <f>N111*I111</f>
        <v>10661.800000000001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43"/>
      <c r="AN111" s="43"/>
      <c r="AO111" s="43" t="s">
        <v>229</v>
      </c>
      <c r="AP111" s="43"/>
      <c r="AQ111" s="8"/>
      <c r="AR111" s="43"/>
      <c r="AS111" s="8"/>
      <c r="AT111" s="8"/>
      <c r="AU111" s="8"/>
      <c r="AV111" s="8"/>
      <c r="AW111" s="8"/>
      <c r="AX111" s="8"/>
      <c r="AY111" s="8"/>
      <c r="AZ111" s="8"/>
      <c r="BA111" s="8"/>
    </row>
    <row r="112" spans="1:53" s="22" customFormat="1" ht="15" x14ac:dyDescent="0.25">
      <c r="A112" s="64"/>
      <c r="B112" s="65"/>
      <c r="C112" s="222" t="s">
        <v>64</v>
      </c>
      <c r="D112" s="222"/>
      <c r="E112" s="222"/>
      <c r="F112" s="222"/>
      <c r="G112" s="222"/>
      <c r="H112" s="46"/>
      <c r="I112" s="47"/>
      <c r="J112" s="47"/>
      <c r="K112" s="47"/>
      <c r="L112" s="50"/>
      <c r="M112" s="47"/>
      <c r="N112" s="50"/>
      <c r="O112" s="47"/>
      <c r="P112" s="96">
        <f>P111</f>
        <v>10661.800000000001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43"/>
      <c r="AN112" s="43"/>
      <c r="AO112" s="43"/>
      <c r="AP112" s="43"/>
      <c r="AQ112" s="8"/>
      <c r="AR112" s="43" t="s">
        <v>64</v>
      </c>
      <c r="AS112" s="8"/>
      <c r="AT112" s="8"/>
      <c r="AU112" s="8"/>
      <c r="AV112" s="8"/>
      <c r="AW112" s="8"/>
      <c r="AX112" s="8"/>
      <c r="AY112" s="8"/>
      <c r="AZ112" s="8"/>
      <c r="BA112" s="8"/>
    </row>
    <row r="113" spans="1:53" s="22" customFormat="1" ht="15" x14ac:dyDescent="0.25">
      <c r="A113" s="44" t="s">
        <v>180</v>
      </c>
      <c r="B113" s="45" t="s">
        <v>230</v>
      </c>
      <c r="C113" s="224" t="s">
        <v>231</v>
      </c>
      <c r="D113" s="224"/>
      <c r="E113" s="224"/>
      <c r="F113" s="224"/>
      <c r="G113" s="224"/>
      <c r="H113" s="46" t="s">
        <v>96</v>
      </c>
      <c r="I113" s="47">
        <f>200/100*$O$34</f>
        <v>200</v>
      </c>
      <c r="J113" s="48">
        <v>1</v>
      </c>
      <c r="K113" s="48">
        <v>200</v>
      </c>
      <c r="L113" s="54">
        <v>2318.8000000000002</v>
      </c>
      <c r="M113" s="49">
        <v>1.06</v>
      </c>
      <c r="N113" s="54">
        <v>2457.9299999999998</v>
      </c>
      <c r="O113" s="47"/>
      <c r="P113" s="96">
        <f>N113*I113</f>
        <v>491585.99999999994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43"/>
      <c r="AN113" s="43"/>
      <c r="AO113" s="43" t="s">
        <v>231</v>
      </c>
      <c r="AP113" s="43"/>
      <c r="AQ113" s="8"/>
      <c r="AR113" s="43"/>
      <c r="AS113" s="8"/>
      <c r="AT113" s="8"/>
      <c r="AU113" s="8"/>
      <c r="AV113" s="8"/>
      <c r="AW113" s="8"/>
      <c r="AX113" s="8"/>
      <c r="AY113" s="8"/>
      <c r="AZ113" s="8"/>
      <c r="BA113" s="8"/>
    </row>
    <row r="114" spans="1:53" s="22" customFormat="1" ht="15" x14ac:dyDescent="0.25">
      <c r="A114" s="64"/>
      <c r="B114" s="65"/>
      <c r="C114" s="222" t="s">
        <v>64</v>
      </c>
      <c r="D114" s="222"/>
      <c r="E114" s="222"/>
      <c r="F114" s="222"/>
      <c r="G114" s="222"/>
      <c r="H114" s="46"/>
      <c r="I114" s="47"/>
      <c r="J114" s="47"/>
      <c r="K114" s="47"/>
      <c r="L114" s="50"/>
      <c r="M114" s="47"/>
      <c r="N114" s="50"/>
      <c r="O114" s="47"/>
      <c r="P114" s="96">
        <f>P113</f>
        <v>491585.99999999994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43"/>
      <c r="AN114" s="43"/>
      <c r="AO114" s="43"/>
      <c r="AP114" s="43"/>
      <c r="AQ114" s="8"/>
      <c r="AR114" s="43" t="s">
        <v>64</v>
      </c>
      <c r="AS114" s="8"/>
      <c r="AT114" s="8"/>
      <c r="AU114" s="8"/>
      <c r="AV114" s="8"/>
      <c r="AW114" s="8"/>
      <c r="AX114" s="8"/>
      <c r="AY114" s="8"/>
      <c r="AZ114" s="8"/>
      <c r="BA114" s="8"/>
    </row>
    <row r="115" spans="1:53" s="22" customFormat="1" ht="34.5" x14ac:dyDescent="0.25">
      <c r="A115" s="44" t="s">
        <v>183</v>
      </c>
      <c r="B115" s="45" t="s">
        <v>232</v>
      </c>
      <c r="C115" s="224" t="s">
        <v>233</v>
      </c>
      <c r="D115" s="224"/>
      <c r="E115" s="224"/>
      <c r="F115" s="224"/>
      <c r="G115" s="224"/>
      <c r="H115" s="46" t="s">
        <v>234</v>
      </c>
      <c r="I115" s="47">
        <f>0.95/100*$O$34</f>
        <v>0.95</v>
      </c>
      <c r="J115" s="48">
        <v>1</v>
      </c>
      <c r="K115" s="49">
        <v>0.95</v>
      </c>
      <c r="L115" s="54">
        <v>144956.01</v>
      </c>
      <c r="M115" s="49">
        <v>1.1399999999999999</v>
      </c>
      <c r="N115" s="54">
        <v>165249.85</v>
      </c>
      <c r="O115" s="47"/>
      <c r="P115" s="96">
        <f>N115*I115</f>
        <v>156987.35749999998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43"/>
      <c r="AN115" s="43"/>
      <c r="AO115" s="43" t="s">
        <v>233</v>
      </c>
      <c r="AP115" s="43"/>
      <c r="AQ115" s="8"/>
      <c r="AR115" s="43"/>
      <c r="AS115" s="8"/>
      <c r="AT115" s="8"/>
      <c r="AU115" s="8"/>
      <c r="AV115" s="8"/>
      <c r="AW115" s="8"/>
      <c r="AX115" s="8"/>
      <c r="AY115" s="8"/>
      <c r="AZ115" s="8"/>
      <c r="BA115" s="8"/>
    </row>
    <row r="116" spans="1:53" s="22" customFormat="1" ht="15" x14ac:dyDescent="0.25">
      <c r="A116" s="64"/>
      <c r="B116" s="65"/>
      <c r="C116" s="222" t="s">
        <v>64</v>
      </c>
      <c r="D116" s="222"/>
      <c r="E116" s="222"/>
      <c r="F116" s="222"/>
      <c r="G116" s="222"/>
      <c r="H116" s="46"/>
      <c r="I116" s="47"/>
      <c r="J116" s="47"/>
      <c r="K116" s="47"/>
      <c r="L116" s="50"/>
      <c r="M116" s="47"/>
      <c r="N116" s="50"/>
      <c r="O116" s="47"/>
      <c r="P116" s="96">
        <f>P115</f>
        <v>156987.35749999998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43"/>
      <c r="AN116" s="43"/>
      <c r="AO116" s="43"/>
      <c r="AP116" s="43"/>
      <c r="AQ116" s="8"/>
      <c r="AR116" s="43" t="s">
        <v>64</v>
      </c>
      <c r="AS116" s="8"/>
      <c r="AT116" s="8"/>
      <c r="AU116" s="8"/>
      <c r="AV116" s="8"/>
      <c r="AW116" s="8"/>
      <c r="AX116" s="8"/>
      <c r="AY116" s="8"/>
      <c r="AZ116" s="8"/>
      <c r="BA116" s="8"/>
    </row>
    <row r="117" spans="1:53" s="22" customFormat="1" ht="23.25" x14ac:dyDescent="0.25">
      <c r="A117" s="44" t="s">
        <v>186</v>
      </c>
      <c r="B117" s="45" t="s">
        <v>235</v>
      </c>
      <c r="C117" s="224" t="s">
        <v>236</v>
      </c>
      <c r="D117" s="224"/>
      <c r="E117" s="224"/>
      <c r="F117" s="224"/>
      <c r="G117" s="224"/>
      <c r="H117" s="46" t="s">
        <v>237</v>
      </c>
      <c r="I117" s="47">
        <f>70/100*$O$34</f>
        <v>70</v>
      </c>
      <c r="J117" s="48">
        <v>1</v>
      </c>
      <c r="K117" s="48">
        <v>70</v>
      </c>
      <c r="L117" s="50"/>
      <c r="M117" s="47"/>
      <c r="N117" s="50"/>
      <c r="O117" s="47"/>
      <c r="P117" s="51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43"/>
      <c r="AN117" s="43"/>
      <c r="AO117" s="43" t="s">
        <v>236</v>
      </c>
      <c r="AP117" s="43"/>
      <c r="AQ117" s="8"/>
      <c r="AR117" s="43"/>
      <c r="AS117" s="8"/>
      <c r="AT117" s="8"/>
      <c r="AU117" s="8"/>
      <c r="AV117" s="8"/>
      <c r="AW117" s="8"/>
      <c r="AX117" s="8"/>
      <c r="AY117" s="8"/>
      <c r="AZ117" s="8"/>
      <c r="BA117" s="8"/>
    </row>
    <row r="118" spans="1:53" s="22" customFormat="1" ht="15" x14ac:dyDescent="0.25">
      <c r="A118" s="52"/>
      <c r="B118" s="53"/>
      <c r="C118" s="222" t="s">
        <v>57</v>
      </c>
      <c r="D118" s="222"/>
      <c r="E118" s="222"/>
      <c r="F118" s="222"/>
      <c r="G118" s="222"/>
      <c r="H118" s="46"/>
      <c r="I118" s="47"/>
      <c r="J118" s="47"/>
      <c r="K118" s="47"/>
      <c r="L118" s="50"/>
      <c r="M118" s="47"/>
      <c r="N118" s="54"/>
      <c r="O118" s="47"/>
      <c r="P118" s="55">
        <f>2468410/100*$O$34</f>
        <v>2468410</v>
      </c>
      <c r="Q118" s="56"/>
      <c r="R118" s="56"/>
      <c r="S118" s="4"/>
      <c r="T118" s="4"/>
      <c r="U118" s="4"/>
      <c r="V118" s="4"/>
      <c r="W118" s="4"/>
      <c r="X118" s="4"/>
      <c r="Y118" s="4"/>
      <c r="Z118" s="4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43"/>
      <c r="AN118" s="43"/>
      <c r="AO118" s="43"/>
      <c r="AP118" s="43" t="s">
        <v>57</v>
      </c>
      <c r="AQ118" s="8"/>
      <c r="AR118" s="43"/>
      <c r="AS118" s="8"/>
      <c r="AT118" s="8"/>
      <c r="AU118" s="8"/>
      <c r="AV118" s="8"/>
      <c r="AW118" s="8"/>
      <c r="AX118" s="8"/>
      <c r="AY118" s="8"/>
      <c r="AZ118" s="8"/>
      <c r="BA118" s="8"/>
    </row>
    <row r="119" spans="1:53" s="22" customFormat="1" ht="15" x14ac:dyDescent="0.25">
      <c r="A119" s="57"/>
      <c r="B119" s="58"/>
      <c r="C119" s="223" t="s">
        <v>58</v>
      </c>
      <c r="D119" s="223"/>
      <c r="E119" s="223"/>
      <c r="F119" s="223"/>
      <c r="G119" s="223"/>
      <c r="H119" s="59"/>
      <c r="I119" s="60"/>
      <c r="J119" s="60"/>
      <c r="K119" s="60"/>
      <c r="L119" s="61"/>
      <c r="M119" s="60"/>
      <c r="N119" s="61"/>
      <c r="O119" s="60"/>
      <c r="P119" s="62">
        <f>2118059/100*$O$34</f>
        <v>2118059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43"/>
      <c r="AN119" s="43"/>
      <c r="AO119" s="43"/>
      <c r="AP119" s="43"/>
      <c r="AQ119" s="8" t="s">
        <v>58</v>
      </c>
      <c r="AR119" s="43"/>
      <c r="AS119" s="8"/>
      <c r="AT119" s="8"/>
      <c r="AU119" s="8"/>
      <c r="AV119" s="8"/>
      <c r="AW119" s="8"/>
      <c r="AX119" s="8"/>
      <c r="AY119" s="8"/>
      <c r="AZ119" s="8"/>
      <c r="BA119" s="8"/>
    </row>
    <row r="120" spans="1:53" s="22" customFormat="1" ht="15" x14ac:dyDescent="0.25">
      <c r="A120" s="57"/>
      <c r="B120" s="58" t="s">
        <v>224</v>
      </c>
      <c r="C120" s="223" t="s">
        <v>225</v>
      </c>
      <c r="D120" s="223"/>
      <c r="E120" s="223"/>
      <c r="F120" s="223"/>
      <c r="G120" s="223"/>
      <c r="H120" s="59" t="s">
        <v>61</v>
      </c>
      <c r="I120" s="63">
        <v>140</v>
      </c>
      <c r="J120" s="60"/>
      <c r="K120" s="63">
        <v>140</v>
      </c>
      <c r="L120" s="61"/>
      <c r="M120" s="60"/>
      <c r="N120" s="61"/>
      <c r="O120" s="60"/>
      <c r="P120" s="95">
        <f>P119*K120%</f>
        <v>2965282.5999999996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43"/>
      <c r="AN120" s="43"/>
      <c r="AO120" s="43"/>
      <c r="AP120" s="43"/>
      <c r="AQ120" s="8" t="s">
        <v>225</v>
      </c>
      <c r="AR120" s="43"/>
      <c r="AS120" s="8"/>
      <c r="AT120" s="8"/>
      <c r="AU120" s="8"/>
      <c r="AV120" s="8"/>
      <c r="AW120" s="8"/>
      <c r="AX120" s="8"/>
      <c r="AY120" s="8"/>
      <c r="AZ120" s="8"/>
      <c r="BA120" s="8"/>
    </row>
    <row r="121" spans="1:53" s="22" customFormat="1" ht="15" x14ac:dyDescent="0.25">
      <c r="A121" s="57"/>
      <c r="B121" s="58" t="s">
        <v>226</v>
      </c>
      <c r="C121" s="223" t="s">
        <v>227</v>
      </c>
      <c r="D121" s="223"/>
      <c r="E121" s="223"/>
      <c r="F121" s="223"/>
      <c r="G121" s="223"/>
      <c r="H121" s="59" t="s">
        <v>61</v>
      </c>
      <c r="I121" s="63">
        <v>93</v>
      </c>
      <c r="J121" s="60"/>
      <c r="K121" s="63">
        <v>93</v>
      </c>
      <c r="L121" s="61"/>
      <c r="M121" s="60"/>
      <c r="N121" s="61"/>
      <c r="O121" s="60"/>
      <c r="P121" s="95">
        <f>P119*K121%</f>
        <v>1969794.87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43"/>
      <c r="AN121" s="43"/>
      <c r="AO121" s="43"/>
      <c r="AP121" s="43"/>
      <c r="AQ121" s="8" t="s">
        <v>227</v>
      </c>
      <c r="AR121" s="43"/>
      <c r="AS121" s="8"/>
      <c r="AT121" s="8"/>
      <c r="AU121" s="8"/>
      <c r="AV121" s="8"/>
      <c r="AW121" s="8"/>
      <c r="AX121" s="8"/>
      <c r="AY121" s="8"/>
      <c r="AZ121" s="8"/>
      <c r="BA121" s="8"/>
    </row>
    <row r="122" spans="1:53" s="22" customFormat="1" ht="15" x14ac:dyDescent="0.25">
      <c r="A122" s="64"/>
      <c r="B122" s="65"/>
      <c r="C122" s="222" t="s">
        <v>64</v>
      </c>
      <c r="D122" s="222"/>
      <c r="E122" s="222"/>
      <c r="F122" s="222"/>
      <c r="G122" s="222"/>
      <c r="H122" s="46"/>
      <c r="I122" s="47"/>
      <c r="J122" s="47"/>
      <c r="K122" s="47"/>
      <c r="L122" s="50"/>
      <c r="M122" s="47"/>
      <c r="N122" s="54">
        <v>105764.11</v>
      </c>
      <c r="O122" s="47"/>
      <c r="P122" s="96">
        <f>P118+P120+P121</f>
        <v>7403487.4699999997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43"/>
      <c r="AN122" s="43"/>
      <c r="AO122" s="43"/>
      <c r="AP122" s="43"/>
      <c r="AQ122" s="8"/>
      <c r="AR122" s="43" t="s">
        <v>64</v>
      </c>
      <c r="AS122" s="8"/>
      <c r="AT122" s="8"/>
      <c r="AU122" s="8"/>
      <c r="AV122" s="8"/>
      <c r="AW122" s="8"/>
      <c r="AX122" s="8"/>
      <c r="AY122" s="8"/>
      <c r="AZ122" s="8"/>
      <c r="BA122" s="8"/>
    </row>
    <row r="123" spans="1:53" s="22" customFormat="1" ht="15" x14ac:dyDescent="0.25">
      <c r="A123" s="44" t="s">
        <v>189</v>
      </c>
      <c r="B123" s="45" t="s">
        <v>228</v>
      </c>
      <c r="C123" s="224" t="s">
        <v>229</v>
      </c>
      <c r="D123" s="224"/>
      <c r="E123" s="224"/>
      <c r="F123" s="224"/>
      <c r="G123" s="224"/>
      <c r="H123" s="46" t="s">
        <v>96</v>
      </c>
      <c r="I123" s="47">
        <f>5.95/100*$O$34</f>
        <v>5.95</v>
      </c>
      <c r="J123" s="48">
        <v>1</v>
      </c>
      <c r="K123" s="49">
        <v>5.95</v>
      </c>
      <c r="L123" s="68">
        <v>951.95</v>
      </c>
      <c r="M123" s="49">
        <v>1.1200000000000001</v>
      </c>
      <c r="N123" s="54">
        <v>1066.18</v>
      </c>
      <c r="O123" s="47"/>
      <c r="P123" s="96">
        <f>N123*I123</f>
        <v>6343.7710000000006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43"/>
      <c r="AN123" s="43"/>
      <c r="AO123" s="43" t="s">
        <v>229</v>
      </c>
      <c r="AP123" s="43"/>
      <c r="AQ123" s="8"/>
      <c r="AR123" s="43"/>
      <c r="AS123" s="8"/>
      <c r="AT123" s="8"/>
      <c r="AU123" s="8"/>
      <c r="AV123" s="8"/>
      <c r="AW123" s="8"/>
      <c r="AX123" s="8"/>
      <c r="AY123" s="8"/>
      <c r="AZ123" s="8"/>
      <c r="BA123" s="8"/>
    </row>
    <row r="124" spans="1:53" s="22" customFormat="1" ht="15" x14ac:dyDescent="0.25">
      <c r="A124" s="64"/>
      <c r="B124" s="65"/>
      <c r="C124" s="222" t="s">
        <v>64</v>
      </c>
      <c r="D124" s="222"/>
      <c r="E124" s="222"/>
      <c r="F124" s="222"/>
      <c r="G124" s="222"/>
      <c r="H124" s="46"/>
      <c r="I124" s="47"/>
      <c r="J124" s="47"/>
      <c r="K124" s="47"/>
      <c r="L124" s="50"/>
      <c r="M124" s="47"/>
      <c r="N124" s="50"/>
      <c r="O124" s="47"/>
      <c r="P124" s="96">
        <f>P123</f>
        <v>6343.7710000000006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43"/>
      <c r="AN124" s="43"/>
      <c r="AO124" s="43"/>
      <c r="AP124" s="43"/>
      <c r="AQ124" s="8"/>
      <c r="AR124" s="43" t="s">
        <v>64</v>
      </c>
      <c r="AS124" s="8"/>
      <c r="AT124" s="8"/>
      <c r="AU124" s="8"/>
      <c r="AV124" s="8"/>
      <c r="AW124" s="8"/>
      <c r="AX124" s="8"/>
      <c r="AY124" s="8"/>
      <c r="AZ124" s="8"/>
      <c r="BA124" s="8"/>
    </row>
    <row r="125" spans="1:53" s="22" customFormat="1" ht="15" x14ac:dyDescent="0.25">
      <c r="A125" s="44" t="s">
        <v>190</v>
      </c>
      <c r="B125" s="45" t="s">
        <v>230</v>
      </c>
      <c r="C125" s="224" t="s">
        <v>231</v>
      </c>
      <c r="D125" s="224"/>
      <c r="E125" s="224"/>
      <c r="F125" s="224"/>
      <c r="G125" s="224"/>
      <c r="H125" s="46" t="s">
        <v>96</v>
      </c>
      <c r="I125" s="47">
        <f>119/100*$O$34</f>
        <v>119</v>
      </c>
      <c r="J125" s="48">
        <v>1</v>
      </c>
      <c r="K125" s="48">
        <v>119</v>
      </c>
      <c r="L125" s="54">
        <v>2318.8000000000002</v>
      </c>
      <c r="M125" s="49">
        <v>1.06</v>
      </c>
      <c r="N125" s="54">
        <v>2457.9299999999998</v>
      </c>
      <c r="O125" s="47"/>
      <c r="P125" s="96">
        <f>N125*I125</f>
        <v>292493.67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43"/>
      <c r="AN125" s="43"/>
      <c r="AO125" s="43" t="s">
        <v>231</v>
      </c>
      <c r="AP125" s="43"/>
      <c r="AQ125" s="8"/>
      <c r="AR125" s="43"/>
      <c r="AS125" s="8"/>
      <c r="AT125" s="8"/>
      <c r="AU125" s="8"/>
      <c r="AV125" s="8"/>
      <c r="AW125" s="8"/>
      <c r="AX125" s="8"/>
      <c r="AY125" s="8"/>
      <c r="AZ125" s="8"/>
      <c r="BA125" s="8"/>
    </row>
    <row r="126" spans="1:53" s="22" customFormat="1" ht="15" x14ac:dyDescent="0.25">
      <c r="A126" s="64"/>
      <c r="B126" s="65"/>
      <c r="C126" s="222" t="s">
        <v>64</v>
      </c>
      <c r="D126" s="222"/>
      <c r="E126" s="222"/>
      <c r="F126" s="222"/>
      <c r="G126" s="222"/>
      <c r="H126" s="46"/>
      <c r="I126" s="47"/>
      <c r="J126" s="47"/>
      <c r="K126" s="47"/>
      <c r="L126" s="50"/>
      <c r="M126" s="47"/>
      <c r="N126" s="50"/>
      <c r="O126" s="47"/>
      <c r="P126" s="96">
        <f>P125</f>
        <v>292493.67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43"/>
      <c r="AN126" s="43"/>
      <c r="AO126" s="43"/>
      <c r="AP126" s="43"/>
      <c r="AQ126" s="8"/>
      <c r="AR126" s="43" t="s">
        <v>64</v>
      </c>
      <c r="AS126" s="8"/>
      <c r="AT126" s="8"/>
      <c r="AU126" s="8"/>
      <c r="AV126" s="8"/>
      <c r="AW126" s="8"/>
      <c r="AX126" s="8"/>
      <c r="AY126" s="8"/>
      <c r="AZ126" s="8"/>
      <c r="BA126" s="8"/>
    </row>
    <row r="127" spans="1:53" s="22" customFormat="1" ht="34.5" x14ac:dyDescent="0.25">
      <c r="A127" s="44" t="s">
        <v>200</v>
      </c>
      <c r="B127" s="45" t="s">
        <v>232</v>
      </c>
      <c r="C127" s="224" t="s">
        <v>233</v>
      </c>
      <c r="D127" s="224"/>
      <c r="E127" s="224"/>
      <c r="F127" s="224"/>
      <c r="G127" s="224"/>
      <c r="H127" s="46" t="s">
        <v>234</v>
      </c>
      <c r="I127" s="47">
        <f>1.13/100*$O$34</f>
        <v>1.1299999999999999</v>
      </c>
      <c r="J127" s="48">
        <v>1</v>
      </c>
      <c r="K127" s="49">
        <v>1.1299999999999999</v>
      </c>
      <c r="L127" s="54">
        <v>144956.01</v>
      </c>
      <c r="M127" s="49">
        <v>1.1399999999999999</v>
      </c>
      <c r="N127" s="54">
        <v>165249.85</v>
      </c>
      <c r="O127" s="47"/>
      <c r="P127" s="96">
        <f>N127*I127</f>
        <v>186732.33049999998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43"/>
      <c r="AN127" s="43"/>
      <c r="AO127" s="43" t="s">
        <v>233</v>
      </c>
      <c r="AP127" s="43"/>
      <c r="AQ127" s="8"/>
      <c r="AR127" s="43"/>
      <c r="AS127" s="8"/>
      <c r="AT127" s="8"/>
      <c r="AU127" s="8"/>
      <c r="AV127" s="8"/>
      <c r="AW127" s="8"/>
      <c r="AX127" s="8"/>
      <c r="AY127" s="8"/>
      <c r="AZ127" s="8"/>
      <c r="BA127" s="8"/>
    </row>
    <row r="128" spans="1:53" s="22" customFormat="1" ht="15" x14ac:dyDescent="0.25">
      <c r="A128" s="64"/>
      <c r="B128" s="65"/>
      <c r="C128" s="222" t="s">
        <v>64</v>
      </c>
      <c r="D128" s="222"/>
      <c r="E128" s="222"/>
      <c r="F128" s="222"/>
      <c r="G128" s="222"/>
      <c r="H128" s="46"/>
      <c r="I128" s="47"/>
      <c r="J128" s="47"/>
      <c r="K128" s="47"/>
      <c r="L128" s="50"/>
      <c r="M128" s="47"/>
      <c r="N128" s="50"/>
      <c r="O128" s="47"/>
      <c r="P128" s="96">
        <f>P127</f>
        <v>186732.33049999998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43"/>
      <c r="AN128" s="43"/>
      <c r="AO128" s="43"/>
      <c r="AP128" s="43"/>
      <c r="AQ128" s="8"/>
      <c r="AR128" s="43" t="s">
        <v>64</v>
      </c>
      <c r="AS128" s="8"/>
      <c r="AT128" s="8"/>
      <c r="AU128" s="8"/>
      <c r="AV128" s="8"/>
      <c r="AW128" s="8"/>
      <c r="AX128" s="8"/>
      <c r="AY128" s="8"/>
      <c r="AZ128" s="8"/>
      <c r="BA128" s="8"/>
    </row>
    <row r="129" spans="1:53" s="22" customFormat="1" ht="0" hidden="1" customHeight="1" x14ac:dyDescent="0.25">
      <c r="A129" s="71"/>
      <c r="B129" s="72"/>
      <c r="C129" s="72"/>
      <c r="D129" s="72"/>
      <c r="E129" s="72"/>
      <c r="F129" s="73"/>
      <c r="G129" s="73"/>
      <c r="H129" s="73"/>
      <c r="I129" s="73"/>
      <c r="J129" s="74"/>
      <c r="K129" s="73"/>
      <c r="L129" s="73"/>
      <c r="M129" s="73"/>
      <c r="N129" s="74"/>
      <c r="O129" s="75"/>
      <c r="P129" s="7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43"/>
      <c r="AN129" s="43"/>
      <c r="AO129" s="43"/>
      <c r="AP129" s="43"/>
      <c r="AQ129" s="8"/>
      <c r="AR129" s="43"/>
      <c r="AS129" s="8"/>
      <c r="AT129" s="8"/>
      <c r="AU129" s="8"/>
      <c r="AV129" s="8"/>
      <c r="AW129" s="8"/>
      <c r="AX129" s="8"/>
      <c r="AY129" s="8"/>
      <c r="AZ129" s="8"/>
      <c r="BA129" s="8"/>
    </row>
    <row r="130" spans="1:53" s="22" customFormat="1" ht="15" x14ac:dyDescent="0.25">
      <c r="A130" s="52"/>
      <c r="B130" s="76"/>
      <c r="C130" s="221" t="s">
        <v>140</v>
      </c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77"/>
      <c r="Q130" s="2"/>
      <c r="R130" s="2"/>
      <c r="S130" s="4"/>
      <c r="T130" s="4"/>
      <c r="U130" s="4"/>
      <c r="V130" s="4"/>
      <c r="W130" s="4"/>
      <c r="X130" s="4"/>
      <c r="Y130" s="4"/>
      <c r="Z130" s="4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43" t="s">
        <v>140</v>
      </c>
      <c r="AT130" s="8"/>
      <c r="AU130" s="8"/>
      <c r="AV130" s="8"/>
      <c r="AW130" s="8"/>
      <c r="AX130" s="8"/>
      <c r="AY130" s="8"/>
      <c r="AZ130" s="8"/>
      <c r="BA130" s="8"/>
    </row>
    <row r="131" spans="1:53" s="22" customFormat="1" ht="15" x14ac:dyDescent="0.25">
      <c r="A131" s="52"/>
      <c r="B131" s="53"/>
      <c r="C131" s="217" t="s">
        <v>141</v>
      </c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78">
        <v>5011646</v>
      </c>
      <c r="Q131" s="2"/>
      <c r="R131" s="2"/>
      <c r="S131" s="4"/>
      <c r="T131" s="4"/>
      <c r="U131" s="4"/>
      <c r="V131" s="4"/>
      <c r="W131" s="4"/>
      <c r="X131" s="4"/>
      <c r="Y131" s="4"/>
      <c r="Z131" s="4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43"/>
      <c r="AT131" s="3" t="s">
        <v>141</v>
      </c>
      <c r="AU131" s="8"/>
      <c r="AV131" s="8"/>
      <c r="AW131" s="8"/>
      <c r="AX131" s="8"/>
      <c r="AY131" s="8"/>
      <c r="AZ131" s="8"/>
      <c r="BA131" s="8"/>
    </row>
    <row r="132" spans="1:53" s="22" customFormat="1" ht="15" x14ac:dyDescent="0.25">
      <c r="A132" s="52"/>
      <c r="B132" s="53"/>
      <c r="C132" s="217" t="s">
        <v>142</v>
      </c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217"/>
      <c r="O132" s="217"/>
      <c r="P132" s="78">
        <v>11987899</v>
      </c>
      <c r="Q132" s="2"/>
      <c r="R132" s="2"/>
      <c r="S132" s="4"/>
      <c r="T132" s="4"/>
      <c r="U132" s="4"/>
      <c r="V132" s="4"/>
      <c r="W132" s="4"/>
      <c r="X132" s="4"/>
      <c r="Y132" s="4"/>
      <c r="Z132" s="4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43"/>
      <c r="AT132" s="3" t="s">
        <v>142</v>
      </c>
      <c r="AU132" s="8"/>
      <c r="AV132" s="8"/>
      <c r="AW132" s="8"/>
      <c r="AX132" s="8"/>
      <c r="AY132" s="8"/>
      <c r="AZ132" s="8"/>
      <c r="BA132" s="8"/>
    </row>
    <row r="133" spans="1:53" s="22" customFormat="1" ht="15" x14ac:dyDescent="0.25">
      <c r="A133" s="52"/>
      <c r="B133" s="53"/>
      <c r="C133" s="217" t="s">
        <v>144</v>
      </c>
      <c r="D133" s="217"/>
      <c r="E133" s="217"/>
      <c r="F133" s="217"/>
      <c r="G133" s="217"/>
      <c r="H133" s="217"/>
      <c r="I133" s="217"/>
      <c r="J133" s="217"/>
      <c r="K133" s="217"/>
      <c r="L133" s="217"/>
      <c r="M133" s="217"/>
      <c r="N133" s="217"/>
      <c r="O133" s="217"/>
      <c r="P133" s="78">
        <f>P43+P49+P55+P61+P68+P74+P81+P91+P99+P107+P119</f>
        <v>3032829</v>
      </c>
      <c r="Q133" s="2"/>
      <c r="R133" s="2"/>
      <c r="S133" s="4"/>
      <c r="T133" s="4"/>
      <c r="U133" s="4"/>
      <c r="V133" s="4"/>
      <c r="W133" s="4"/>
      <c r="X133" s="4"/>
      <c r="Y133" s="4"/>
      <c r="Z133" s="4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43"/>
      <c r="AT133" s="3" t="s">
        <v>144</v>
      </c>
      <c r="AU133" s="8"/>
      <c r="AV133" s="8"/>
      <c r="AW133" s="8"/>
      <c r="AX133" s="8"/>
      <c r="AY133" s="8"/>
      <c r="AZ133" s="8"/>
      <c r="BA133" s="8"/>
    </row>
    <row r="134" spans="1:53" s="22" customFormat="1" ht="15" x14ac:dyDescent="0.25">
      <c r="A134" s="52"/>
      <c r="B134" s="53"/>
      <c r="C134" s="217" t="s">
        <v>145</v>
      </c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97">
        <f t="shared" ref="P134:P135" si="0">P44+P50+P56+P62+P69+P75+P82+P92+P100+P108+P120</f>
        <v>4196744.34</v>
      </c>
      <c r="Q134" s="2"/>
      <c r="R134" s="2"/>
      <c r="S134" s="4"/>
      <c r="T134" s="4"/>
      <c r="U134" s="4"/>
      <c r="V134" s="4"/>
      <c r="W134" s="4"/>
      <c r="X134" s="4"/>
      <c r="Y134" s="4"/>
      <c r="Z134" s="4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43"/>
      <c r="AT134" s="3" t="s">
        <v>145</v>
      </c>
      <c r="AU134" s="8"/>
      <c r="AV134" s="8"/>
      <c r="AW134" s="8"/>
      <c r="AX134" s="8"/>
      <c r="AY134" s="8"/>
      <c r="AZ134" s="8"/>
      <c r="BA134" s="8"/>
    </row>
    <row r="135" spans="1:53" s="22" customFormat="1" ht="15" x14ac:dyDescent="0.25">
      <c r="A135" s="52"/>
      <c r="B135" s="53"/>
      <c r="C135" s="217" t="s">
        <v>146</v>
      </c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97">
        <f t="shared" si="0"/>
        <v>2779505.7600000002</v>
      </c>
      <c r="Q135" s="2"/>
      <c r="R135" s="2"/>
      <c r="S135" s="4"/>
      <c r="T135" s="4"/>
      <c r="U135" s="4"/>
      <c r="V135" s="4"/>
      <c r="W135" s="4"/>
      <c r="X135" s="4"/>
      <c r="Y135" s="4"/>
      <c r="Z135" s="4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43"/>
      <c r="AT135" s="3" t="s">
        <v>146</v>
      </c>
      <c r="AU135" s="8"/>
      <c r="AV135" s="8"/>
      <c r="AW135" s="8"/>
      <c r="AX135" s="8"/>
      <c r="AY135" s="8"/>
      <c r="AZ135" s="8"/>
      <c r="BA135" s="8"/>
    </row>
    <row r="136" spans="1:53" s="22" customFormat="1" ht="15" x14ac:dyDescent="0.25">
      <c r="A136" s="52"/>
      <c r="B136" s="76"/>
      <c r="C136" s="221" t="s">
        <v>147</v>
      </c>
      <c r="D136" s="221"/>
      <c r="E136" s="221"/>
      <c r="F136" s="221"/>
      <c r="G136" s="221"/>
      <c r="H136" s="221"/>
      <c r="I136" s="221"/>
      <c r="J136" s="221"/>
      <c r="K136" s="221"/>
      <c r="L136" s="221"/>
      <c r="M136" s="221"/>
      <c r="N136" s="221"/>
      <c r="O136" s="221"/>
      <c r="P136" s="79">
        <f>P131+P134+P135</f>
        <v>11987896.1</v>
      </c>
      <c r="Q136" s="2"/>
      <c r="R136" s="2"/>
      <c r="S136" s="4"/>
      <c r="T136" s="4"/>
      <c r="U136" s="4"/>
      <c r="V136" s="4"/>
      <c r="W136" s="4"/>
      <c r="X136" s="4"/>
      <c r="Y136" s="4"/>
      <c r="Z136" s="4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43"/>
      <c r="AT136" s="3"/>
      <c r="AU136" s="43" t="s">
        <v>147</v>
      </c>
      <c r="AV136" s="8"/>
      <c r="AW136" s="8"/>
      <c r="AX136" s="8"/>
      <c r="AY136" s="8"/>
      <c r="AZ136" s="8"/>
      <c r="BA136" s="8"/>
    </row>
    <row r="137" spans="1:53" s="22" customFormat="1" ht="15" x14ac:dyDescent="0.25">
      <c r="A137" s="52"/>
      <c r="B137" s="76"/>
      <c r="C137" s="221" t="s">
        <v>148</v>
      </c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80"/>
      <c r="Q137" s="2"/>
      <c r="R137" s="2"/>
      <c r="S137" s="4"/>
      <c r="T137" s="4"/>
      <c r="U137" s="4"/>
      <c r="V137" s="4"/>
      <c r="W137" s="4"/>
      <c r="X137" s="4"/>
      <c r="Y137" s="4"/>
      <c r="Z137" s="4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43" t="s">
        <v>148</v>
      </c>
      <c r="AW137" s="8"/>
      <c r="AX137" s="8"/>
      <c r="AY137" s="8"/>
      <c r="AZ137" s="8"/>
      <c r="BA137" s="8"/>
    </row>
    <row r="138" spans="1:53" s="22" customFormat="1" ht="15" x14ac:dyDescent="0.25">
      <c r="A138" s="52"/>
      <c r="B138" s="76"/>
      <c r="C138" s="220" t="s">
        <v>150</v>
      </c>
      <c r="D138" s="220"/>
      <c r="E138" s="220"/>
      <c r="F138" s="220"/>
      <c r="G138" s="220"/>
      <c r="H138" s="220"/>
      <c r="I138" s="220"/>
      <c r="J138" s="220"/>
      <c r="K138" s="81">
        <v>7429.4624999999996</v>
      </c>
      <c r="L138" s="220"/>
      <c r="M138" s="220"/>
      <c r="N138" s="220"/>
      <c r="O138" s="220"/>
      <c r="P138" s="82"/>
      <c r="Q138" s="2"/>
      <c r="R138" s="2"/>
      <c r="S138" s="4"/>
      <c r="T138" s="4"/>
      <c r="U138" s="4"/>
      <c r="V138" s="4"/>
      <c r="W138" s="4"/>
      <c r="X138" s="4"/>
      <c r="Y138" s="4"/>
      <c r="Z138" s="4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43"/>
      <c r="AW138" s="3" t="s">
        <v>150</v>
      </c>
      <c r="AX138" s="8"/>
      <c r="AY138" s="8"/>
      <c r="AZ138" s="8"/>
      <c r="BA138" s="8"/>
    </row>
    <row r="139" spans="1:53" s="22" customFormat="1" ht="15" x14ac:dyDescent="0.25">
      <c r="A139" s="52"/>
      <c r="B139" s="76"/>
      <c r="C139" s="220" t="s">
        <v>151</v>
      </c>
      <c r="D139" s="220"/>
      <c r="E139" s="220"/>
      <c r="F139" s="220"/>
      <c r="G139" s="220"/>
      <c r="H139" s="220"/>
      <c r="I139" s="220"/>
      <c r="J139" s="220"/>
      <c r="K139" s="93">
        <v>199.73099999999999</v>
      </c>
      <c r="L139" s="220"/>
      <c r="M139" s="220"/>
      <c r="N139" s="220"/>
      <c r="O139" s="220"/>
      <c r="P139" s="82"/>
      <c r="Q139" s="2"/>
      <c r="R139" s="2"/>
      <c r="S139" s="4"/>
      <c r="T139" s="4"/>
      <c r="U139" s="4"/>
      <c r="V139" s="4"/>
      <c r="W139" s="4"/>
      <c r="X139" s="4"/>
      <c r="Y139" s="4"/>
      <c r="Z139" s="4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43"/>
      <c r="AW139" s="3" t="s">
        <v>151</v>
      </c>
      <c r="AX139" s="8"/>
      <c r="AY139" s="8"/>
      <c r="AZ139" s="8"/>
      <c r="BA139" s="8"/>
    </row>
    <row r="140" spans="1:53" s="22" customFormat="1" ht="11.25" hidden="1" customHeight="1" x14ac:dyDescent="0.2">
      <c r="A140" s="5"/>
      <c r="B140" s="74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84"/>
      <c r="O140" s="85"/>
      <c r="P140" s="86"/>
      <c r="Q140" s="2"/>
      <c r="R140" s="2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</row>
    <row r="141" spans="1:53" s="4" customFormat="1" ht="26.25" customHeight="1" x14ac:dyDescent="0.2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</row>
    <row r="142" spans="1:53" s="22" customFormat="1" ht="15" x14ac:dyDescent="0.25">
      <c r="A142" s="7"/>
      <c r="B142" s="88" t="s">
        <v>152</v>
      </c>
      <c r="C142" s="218"/>
      <c r="D142" s="218"/>
      <c r="E142" s="218"/>
      <c r="F142" s="218"/>
      <c r="G142" s="218"/>
      <c r="H142" s="218"/>
      <c r="I142" s="219"/>
      <c r="J142" s="219"/>
      <c r="K142" s="219"/>
      <c r="L142" s="219"/>
      <c r="M142" s="219"/>
      <c r="N142" s="219"/>
      <c r="O142" s="4"/>
      <c r="P142" s="4"/>
      <c r="Q142" s="2"/>
      <c r="R142" s="2"/>
      <c r="S142" s="4"/>
      <c r="T142" s="4"/>
      <c r="U142" s="4"/>
      <c r="V142" s="4"/>
      <c r="W142" s="4"/>
      <c r="X142" s="4"/>
      <c r="Y142" s="4"/>
      <c r="Z142" s="4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 t="s">
        <v>9</v>
      </c>
      <c r="AY142" s="8" t="s">
        <v>9</v>
      </c>
      <c r="AZ142" s="8"/>
      <c r="BA142" s="8"/>
    </row>
    <row r="143" spans="1:53" s="89" customFormat="1" ht="16.5" customHeight="1" x14ac:dyDescent="0.25">
      <c r="A143" s="12"/>
      <c r="B143" s="88"/>
      <c r="C143" s="214" t="s">
        <v>153</v>
      </c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Q143" s="90"/>
      <c r="R143" s="90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</row>
    <row r="144" spans="1:53" s="22" customFormat="1" ht="15" x14ac:dyDescent="0.25">
      <c r="A144" s="7"/>
      <c r="B144" s="88" t="s">
        <v>154</v>
      </c>
      <c r="C144" s="218"/>
      <c r="D144" s="218"/>
      <c r="E144" s="218"/>
      <c r="F144" s="218"/>
      <c r="G144" s="218"/>
      <c r="H144" s="218"/>
      <c r="I144" s="219"/>
      <c r="J144" s="219"/>
      <c r="K144" s="219"/>
      <c r="L144" s="219"/>
      <c r="M144" s="219"/>
      <c r="N144" s="219"/>
      <c r="O144" s="4"/>
      <c r="P144" s="4"/>
      <c r="Q144" s="2"/>
      <c r="R144" s="2"/>
      <c r="S144" s="4"/>
      <c r="T144" s="4"/>
      <c r="U144" s="4"/>
      <c r="V144" s="4"/>
      <c r="W144" s="4"/>
      <c r="X144" s="4"/>
      <c r="Y144" s="4"/>
      <c r="Z144" s="4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 t="s">
        <v>9</v>
      </c>
      <c r="BA144" s="8" t="s">
        <v>9</v>
      </c>
    </row>
    <row r="145" spans="1:53" s="89" customFormat="1" ht="16.5" customHeight="1" x14ac:dyDescent="0.25">
      <c r="A145" s="12"/>
      <c r="C145" s="214" t="s">
        <v>153</v>
      </c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Q145" s="90"/>
      <c r="R145" s="90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</row>
    <row r="146" spans="1:53" s="4" customFormat="1" ht="12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53" s="4" customFormat="1" ht="26.25" customHeight="1" x14ac:dyDescent="0.25">
      <c r="A147" s="215" t="s">
        <v>155</v>
      </c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</row>
    <row r="148" spans="1:53" s="4" customFormat="1" ht="17.25" customHeight="1" x14ac:dyDescent="0.25">
      <c r="A148" s="217" t="s">
        <v>156</v>
      </c>
      <c r="B148" s="217"/>
      <c r="C148" s="217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7"/>
      <c r="O148" s="217"/>
      <c r="P148" s="217"/>
    </row>
    <row r="149" spans="1:53" s="4" customFormat="1" ht="17.25" customHeight="1" x14ac:dyDescent="0.25">
      <c r="A149" s="217" t="s">
        <v>157</v>
      </c>
      <c r="B149" s="217"/>
      <c r="C149" s="217"/>
      <c r="D149" s="217"/>
      <c r="E149" s="217"/>
      <c r="F149" s="217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</row>
    <row r="150" spans="1:53" s="4" customFormat="1" ht="13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53" s="4" customFormat="1" ht="15" x14ac:dyDescent="0.25">
      <c r="A151" s="5"/>
    </row>
    <row r="152" spans="1:53" s="4" customFormat="1" ht="15" x14ac:dyDescent="0.25">
      <c r="A152" s="5"/>
    </row>
    <row r="153" spans="1:53" s="4" customFormat="1" ht="15" x14ac:dyDescent="0.25">
      <c r="A153" s="5"/>
    </row>
    <row r="154" spans="1:53" s="4" customFormat="1" ht="15" x14ac:dyDescent="0.25">
      <c r="A154" s="5"/>
    </row>
    <row r="155" spans="1:53" s="4" customFormat="1" ht="15" x14ac:dyDescent="0.25">
      <c r="A155" s="5"/>
    </row>
    <row r="156" spans="1:53" s="4" customFormat="1" ht="15" x14ac:dyDescent="0.25">
      <c r="A156" s="5"/>
    </row>
    <row r="157" spans="1:53" s="4" customFormat="1" ht="15" x14ac:dyDescent="0.25">
      <c r="A157" s="5"/>
    </row>
    <row r="158" spans="1:53" s="4" customFormat="1" ht="15" x14ac:dyDescent="0.25">
      <c r="A158" s="5"/>
    </row>
    <row r="159" spans="1:53" s="4" customFormat="1" ht="15" x14ac:dyDescent="0.25">
      <c r="A159" s="5"/>
    </row>
    <row r="160" spans="1:53" s="4" customFormat="1" ht="15" x14ac:dyDescent="0.25">
      <c r="A160" s="5"/>
    </row>
    <row r="161" spans="1:1" s="4" customFormat="1" ht="15" x14ac:dyDescent="0.25">
      <c r="A161" s="5"/>
    </row>
    <row r="162" spans="1:1" s="4" customFormat="1" ht="15" x14ac:dyDescent="0.25">
      <c r="A162" s="5"/>
    </row>
    <row r="163" spans="1:1" s="4" customFormat="1" ht="15" x14ac:dyDescent="0.25">
      <c r="A163" s="5"/>
    </row>
    <row r="164" spans="1:1" s="4" customFormat="1" ht="15" x14ac:dyDescent="0.25">
      <c r="A164" s="5"/>
    </row>
    <row r="165" spans="1:1" s="4" customFormat="1" ht="15" x14ac:dyDescent="0.25">
      <c r="A165" s="5"/>
    </row>
    <row r="166" spans="1:1" s="4" customFormat="1" ht="15" x14ac:dyDescent="0.25">
      <c r="A166" s="5"/>
    </row>
    <row r="167" spans="1:1" s="4" customFormat="1" ht="15" x14ac:dyDescent="0.25">
      <c r="A167" s="5"/>
    </row>
    <row r="168" spans="1:1" s="4" customFormat="1" ht="15" x14ac:dyDescent="0.25">
      <c r="A168" s="5"/>
    </row>
    <row r="169" spans="1:1" s="4" customFormat="1" ht="15" x14ac:dyDescent="0.25">
      <c r="A169" s="5"/>
    </row>
    <row r="170" spans="1:1" s="4" customFormat="1" ht="15" x14ac:dyDescent="0.25">
      <c r="A170" s="5"/>
    </row>
    <row r="171" spans="1:1" s="4" customFormat="1" ht="15" x14ac:dyDescent="0.25">
      <c r="A171" s="5"/>
    </row>
    <row r="172" spans="1:1" s="4" customFormat="1" ht="15" x14ac:dyDescent="0.25">
      <c r="A172" s="5"/>
    </row>
    <row r="173" spans="1:1" s="4" customFormat="1" ht="15" x14ac:dyDescent="0.25">
      <c r="A173" s="5"/>
    </row>
    <row r="174" spans="1:1" s="4" customFormat="1" ht="15" x14ac:dyDescent="0.25">
      <c r="A174" s="5"/>
    </row>
    <row r="175" spans="1:1" s="4" customFormat="1" ht="15" x14ac:dyDescent="0.25">
      <c r="A175" s="5"/>
    </row>
    <row r="176" spans="1:1" s="4" customFormat="1" ht="15" x14ac:dyDescent="0.25">
      <c r="A176" s="5"/>
    </row>
    <row r="177" spans="1:1" s="4" customFormat="1" ht="15" x14ac:dyDescent="0.25">
      <c r="A177" s="5"/>
    </row>
    <row r="178" spans="1:1" s="4" customFormat="1" ht="15" x14ac:dyDescent="0.25">
      <c r="A178" s="5"/>
    </row>
    <row r="179" spans="1:1" s="4" customFormat="1" ht="15" x14ac:dyDescent="0.25">
      <c r="A179" s="5"/>
    </row>
    <row r="180" spans="1:1" s="4" customFormat="1" ht="15" x14ac:dyDescent="0.25">
      <c r="A180" s="5"/>
    </row>
    <row r="181" spans="1:1" s="4" customFormat="1" ht="15" x14ac:dyDescent="0.25">
      <c r="A181" s="5"/>
    </row>
    <row r="182" spans="1:1" s="4" customFormat="1" ht="15" x14ac:dyDescent="0.25">
      <c r="A182" s="5"/>
    </row>
    <row r="183" spans="1:1" s="4" customFormat="1" ht="15" x14ac:dyDescent="0.25">
      <c r="A183" s="5"/>
    </row>
    <row r="184" spans="1:1" s="4" customFormat="1" ht="15" x14ac:dyDescent="0.25">
      <c r="A184" s="5"/>
    </row>
    <row r="185" spans="1:1" s="4" customFormat="1" ht="15" x14ac:dyDescent="0.25">
      <c r="A185" s="5"/>
    </row>
  </sheetData>
  <mergeCells count="144">
    <mergeCell ref="A7:F7"/>
    <mergeCell ref="G7:P7"/>
    <mergeCell ref="A8:F8"/>
    <mergeCell ref="G8:P8"/>
    <mergeCell ref="A9:F9"/>
    <mergeCell ref="G9:P9"/>
    <mergeCell ref="A4:F4"/>
    <mergeCell ref="G4:P4"/>
    <mergeCell ref="A5:F5"/>
    <mergeCell ref="G5:P5"/>
    <mergeCell ref="A6:F6"/>
    <mergeCell ref="G6:P6"/>
    <mergeCell ref="A14:P14"/>
    <mergeCell ref="A16:P16"/>
    <mergeCell ref="A17:P17"/>
    <mergeCell ref="A18:P18"/>
    <mergeCell ref="A20:P20"/>
    <mergeCell ref="A10:F10"/>
    <mergeCell ref="G10:P10"/>
    <mergeCell ref="A11:F11"/>
    <mergeCell ref="G11:P11"/>
    <mergeCell ref="A13:P13"/>
    <mergeCell ref="A21:P21"/>
    <mergeCell ref="B23:F23"/>
    <mergeCell ref="B24:F24"/>
    <mergeCell ref="C26:F26"/>
    <mergeCell ref="A35:A37"/>
    <mergeCell ref="B35:B37"/>
    <mergeCell ref="C35:G37"/>
    <mergeCell ref="H35:H37"/>
    <mergeCell ref="I35:K36"/>
    <mergeCell ref="L35:P36"/>
    <mergeCell ref="C43:G43"/>
    <mergeCell ref="C44:G44"/>
    <mergeCell ref="C45:G45"/>
    <mergeCell ref="C46:G46"/>
    <mergeCell ref="C47:G47"/>
    <mergeCell ref="C38:G38"/>
    <mergeCell ref="A39:P39"/>
    <mergeCell ref="A40:P40"/>
    <mergeCell ref="C41:G41"/>
    <mergeCell ref="C42:G42"/>
    <mergeCell ref="C53:G53"/>
    <mergeCell ref="C54:G54"/>
    <mergeCell ref="C55:G55"/>
    <mergeCell ref="C56:G56"/>
    <mergeCell ref="C57:G57"/>
    <mergeCell ref="C48:G48"/>
    <mergeCell ref="C49:G49"/>
    <mergeCell ref="C50:G50"/>
    <mergeCell ref="C51:G51"/>
    <mergeCell ref="C52:G52"/>
    <mergeCell ref="C63:G63"/>
    <mergeCell ref="C64:G64"/>
    <mergeCell ref="A65:P65"/>
    <mergeCell ref="C66:G66"/>
    <mergeCell ref="C67:G67"/>
    <mergeCell ref="C58:G58"/>
    <mergeCell ref="C59:G59"/>
    <mergeCell ref="C60:G60"/>
    <mergeCell ref="C61:G61"/>
    <mergeCell ref="C62:G62"/>
    <mergeCell ref="C73:G73"/>
    <mergeCell ref="C74:G74"/>
    <mergeCell ref="C75:G75"/>
    <mergeCell ref="C76:G76"/>
    <mergeCell ref="C77:G77"/>
    <mergeCell ref="C68:G68"/>
    <mergeCell ref="C69:G69"/>
    <mergeCell ref="C70:G70"/>
    <mergeCell ref="C71:G71"/>
    <mergeCell ref="C72:G72"/>
    <mergeCell ref="C83:G83"/>
    <mergeCell ref="C84:G84"/>
    <mergeCell ref="C85:G85"/>
    <mergeCell ref="C86:G86"/>
    <mergeCell ref="C87:G87"/>
    <mergeCell ref="A78:P78"/>
    <mergeCell ref="C79:G79"/>
    <mergeCell ref="C80:G80"/>
    <mergeCell ref="C81:G81"/>
    <mergeCell ref="C82:G82"/>
    <mergeCell ref="C93:G93"/>
    <mergeCell ref="C94:G94"/>
    <mergeCell ref="C95:G95"/>
    <mergeCell ref="C96:G96"/>
    <mergeCell ref="C97:G97"/>
    <mergeCell ref="C88:G88"/>
    <mergeCell ref="C89:G89"/>
    <mergeCell ref="C90:G90"/>
    <mergeCell ref="C91:G91"/>
    <mergeCell ref="C92:G92"/>
    <mergeCell ref="C103:G103"/>
    <mergeCell ref="C104:G104"/>
    <mergeCell ref="C105:G105"/>
    <mergeCell ref="C106:G106"/>
    <mergeCell ref="C107:G107"/>
    <mergeCell ref="C98:G98"/>
    <mergeCell ref="C99:G99"/>
    <mergeCell ref="C100:G100"/>
    <mergeCell ref="C101:G101"/>
    <mergeCell ref="C102:G102"/>
    <mergeCell ref="C113:G113"/>
    <mergeCell ref="C114:G114"/>
    <mergeCell ref="C115:G115"/>
    <mergeCell ref="C116:G116"/>
    <mergeCell ref="C117:G117"/>
    <mergeCell ref="C108:G108"/>
    <mergeCell ref="C109:G109"/>
    <mergeCell ref="C110:G110"/>
    <mergeCell ref="C111:G111"/>
    <mergeCell ref="C112:G112"/>
    <mergeCell ref="C123:G123"/>
    <mergeCell ref="C124:G124"/>
    <mergeCell ref="C125:G125"/>
    <mergeCell ref="C126:G126"/>
    <mergeCell ref="C127:G127"/>
    <mergeCell ref="C118:G118"/>
    <mergeCell ref="C119:G119"/>
    <mergeCell ref="C120:G120"/>
    <mergeCell ref="C121:G121"/>
    <mergeCell ref="C122:G122"/>
    <mergeCell ref="C134:O134"/>
    <mergeCell ref="C135:O135"/>
    <mergeCell ref="C136:O136"/>
    <mergeCell ref="C137:O137"/>
    <mergeCell ref="C138:J138"/>
    <mergeCell ref="L138:O138"/>
    <mergeCell ref="C128:G128"/>
    <mergeCell ref="C130:O130"/>
    <mergeCell ref="C131:O131"/>
    <mergeCell ref="C132:O132"/>
    <mergeCell ref="C133:O133"/>
    <mergeCell ref="A149:P149"/>
    <mergeCell ref="C144:H144"/>
    <mergeCell ref="I144:N144"/>
    <mergeCell ref="C145:N145"/>
    <mergeCell ref="A147:P147"/>
    <mergeCell ref="A148:P148"/>
    <mergeCell ref="C139:J139"/>
    <mergeCell ref="L139:O139"/>
    <mergeCell ref="C142:H142"/>
    <mergeCell ref="I142:N142"/>
    <mergeCell ref="C143:N143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9" fitToHeight="0" orientation="landscape" r:id="rId1"/>
  <headerFooter>
    <oddFooter>&amp;RСтраница &amp;P</oddFooter>
  </headerFooter>
  <rowBreaks count="1" manualBreakCount="1">
    <brk id="34" max="18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1"/>
  <sheetViews>
    <sheetView tabSelected="1" topLeftCell="A55" workbookViewId="0">
      <selection activeCell="J44" sqref="J44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" customWidth="1"/>
    <col min="17" max="17" width="75.28515625" style="2" hidden="1" customWidth="1"/>
    <col min="18" max="18" width="126.5703125" style="2" hidden="1" customWidth="1"/>
    <col min="19" max="26" width="9.140625" style="1"/>
    <col min="27" max="33" width="127.28515625" style="3" hidden="1" customWidth="1"/>
    <col min="34" max="36" width="203.42578125" style="3" hidden="1" customWidth="1"/>
    <col min="37" max="37" width="66.42578125" style="3" hidden="1" customWidth="1"/>
    <col min="38" max="38" width="45.7109375" style="3" hidden="1" customWidth="1"/>
    <col min="39" max="40" width="203.42578125" style="3" hidden="1" customWidth="1"/>
    <col min="41" max="44" width="51.85546875" style="3" hidden="1" customWidth="1"/>
    <col min="45" max="48" width="156" style="3" hidden="1" customWidth="1"/>
    <col min="49" max="49" width="84.28515625" style="3" hidden="1" customWidth="1"/>
    <col min="50" max="50" width="61.140625" style="3" hidden="1" customWidth="1"/>
    <col min="51" max="51" width="82" style="3" hidden="1" customWidth="1"/>
    <col min="52" max="52" width="61.140625" style="3" hidden="1" customWidth="1"/>
    <col min="53" max="53" width="82" style="3" hidden="1" customWidth="1"/>
    <col min="54" max="16384" width="9.140625" style="1"/>
  </cols>
  <sheetData>
    <row r="1" spans="1:35" s="4" customFormat="1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 t="s">
        <v>0</v>
      </c>
    </row>
    <row r="2" spans="1:35" s="4" customFormat="1" ht="11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6" t="s">
        <v>1</v>
      </c>
    </row>
    <row r="3" spans="1:35" s="4" customFormat="1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6"/>
    </row>
    <row r="4" spans="1:35" s="4" customFormat="1" ht="12.75" customHeight="1" x14ac:dyDescent="0.25">
      <c r="A4" s="223" t="s">
        <v>2</v>
      </c>
      <c r="B4" s="223"/>
      <c r="C4" s="223"/>
      <c r="D4" s="223"/>
      <c r="E4" s="223"/>
      <c r="F4" s="223"/>
      <c r="G4" s="250" t="s">
        <v>3</v>
      </c>
      <c r="H4" s="250"/>
      <c r="I4" s="250"/>
      <c r="J4" s="250"/>
      <c r="K4" s="250"/>
      <c r="L4" s="250"/>
      <c r="M4" s="250"/>
      <c r="N4" s="250"/>
      <c r="O4" s="250"/>
      <c r="P4" s="250"/>
    </row>
    <row r="5" spans="1:35" s="4" customFormat="1" ht="22.5" customHeight="1" x14ac:dyDescent="0.25">
      <c r="A5" s="223" t="s">
        <v>4</v>
      </c>
      <c r="B5" s="223"/>
      <c r="C5" s="223"/>
      <c r="D5" s="223"/>
      <c r="E5" s="223"/>
      <c r="F5" s="223"/>
      <c r="G5" s="248" t="s">
        <v>5</v>
      </c>
      <c r="H5" s="248"/>
      <c r="I5" s="248"/>
      <c r="J5" s="248"/>
      <c r="K5" s="248"/>
      <c r="L5" s="248"/>
      <c r="M5" s="248"/>
      <c r="N5" s="248"/>
      <c r="O5" s="248"/>
      <c r="P5" s="248"/>
      <c r="AA5" s="8" t="s">
        <v>5</v>
      </c>
    </row>
    <row r="6" spans="1:35" s="4" customFormat="1" ht="45" customHeight="1" x14ac:dyDescent="0.25">
      <c r="A6" s="223" t="s">
        <v>6</v>
      </c>
      <c r="B6" s="223"/>
      <c r="C6" s="223"/>
      <c r="D6" s="223"/>
      <c r="E6" s="223"/>
      <c r="F6" s="223"/>
      <c r="G6" s="248" t="s">
        <v>7</v>
      </c>
      <c r="H6" s="248"/>
      <c r="I6" s="248"/>
      <c r="J6" s="248"/>
      <c r="K6" s="248"/>
      <c r="L6" s="248"/>
      <c r="M6" s="248"/>
      <c r="N6" s="248"/>
      <c r="O6" s="248"/>
      <c r="P6" s="248"/>
      <c r="AB6" s="8" t="s">
        <v>7</v>
      </c>
    </row>
    <row r="7" spans="1:35" s="4" customFormat="1" ht="67.5" customHeight="1" x14ac:dyDescent="0.25">
      <c r="A7" s="249" t="s">
        <v>8</v>
      </c>
      <c r="B7" s="249"/>
      <c r="C7" s="249"/>
      <c r="D7" s="249"/>
      <c r="E7" s="249"/>
      <c r="F7" s="249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9" t="s">
        <v>8</v>
      </c>
      <c r="R7" s="10"/>
      <c r="S7" s="8"/>
      <c r="T7" s="8"/>
      <c r="U7" s="8"/>
      <c r="V7" s="8"/>
      <c r="W7" s="8"/>
      <c r="X7" s="8"/>
      <c r="Y7" s="8"/>
      <c r="Z7" s="8"/>
      <c r="AC7" s="8" t="s">
        <v>9</v>
      </c>
    </row>
    <row r="8" spans="1:35" s="4" customFormat="1" ht="33.75" customHeight="1" x14ac:dyDescent="0.25">
      <c r="A8" s="223" t="s">
        <v>10</v>
      </c>
      <c r="B8" s="223"/>
      <c r="C8" s="223"/>
      <c r="D8" s="223"/>
      <c r="E8" s="223"/>
      <c r="F8" s="223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9" t="s">
        <v>10</v>
      </c>
      <c r="R8" s="10"/>
      <c r="S8" s="8"/>
      <c r="T8" s="8"/>
      <c r="U8" s="8"/>
      <c r="V8" s="8"/>
      <c r="W8" s="8"/>
      <c r="X8" s="8"/>
      <c r="Y8" s="8"/>
      <c r="Z8" s="8"/>
      <c r="AD8" s="8" t="s">
        <v>9</v>
      </c>
    </row>
    <row r="9" spans="1:35" s="4" customFormat="1" ht="11.25" customHeight="1" x14ac:dyDescent="0.25">
      <c r="A9" s="223" t="s">
        <v>11</v>
      </c>
      <c r="B9" s="223"/>
      <c r="C9" s="223"/>
      <c r="D9" s="223"/>
      <c r="E9" s="223"/>
      <c r="F9" s="223"/>
      <c r="G9" s="248"/>
      <c r="H9" s="248"/>
      <c r="I9" s="248"/>
      <c r="J9" s="248"/>
      <c r="K9" s="248"/>
      <c r="L9" s="248"/>
      <c r="M9" s="248"/>
      <c r="N9" s="248"/>
      <c r="O9" s="248"/>
      <c r="P9" s="248"/>
      <c r="AE9" s="8" t="s">
        <v>9</v>
      </c>
    </row>
    <row r="10" spans="1:35" s="4" customFormat="1" ht="11.25" customHeight="1" x14ac:dyDescent="0.25">
      <c r="A10" s="223" t="s">
        <v>12</v>
      </c>
      <c r="B10" s="223"/>
      <c r="C10" s="223"/>
      <c r="D10" s="223"/>
      <c r="E10" s="223"/>
      <c r="F10" s="223"/>
      <c r="G10" s="248" t="s">
        <v>13</v>
      </c>
      <c r="H10" s="248"/>
      <c r="I10" s="248"/>
      <c r="J10" s="248"/>
      <c r="K10" s="248"/>
      <c r="L10" s="248"/>
      <c r="M10" s="248"/>
      <c r="N10" s="248"/>
      <c r="O10" s="248"/>
      <c r="P10" s="248"/>
      <c r="R10" s="2" t="s">
        <v>13</v>
      </c>
      <c r="AF10" s="8" t="s">
        <v>13</v>
      </c>
    </row>
    <row r="11" spans="1:35" s="4" customFormat="1" ht="15" x14ac:dyDescent="0.25">
      <c r="A11" s="223" t="s">
        <v>14</v>
      </c>
      <c r="B11" s="223"/>
      <c r="C11" s="223"/>
      <c r="D11" s="223"/>
      <c r="E11" s="223"/>
      <c r="F11" s="223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AG11" s="8" t="s">
        <v>9</v>
      </c>
    </row>
    <row r="12" spans="1:35" s="4" customFormat="1" ht="6" customHeight="1" x14ac:dyDescent="0.25">
      <c r="A12" s="11"/>
      <c r="B12" s="7"/>
      <c r="C12" s="7"/>
      <c r="D12" s="7"/>
      <c r="E12" s="7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35" s="4" customFormat="1" ht="15" x14ac:dyDescent="0.25">
      <c r="A13" s="246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AH13" s="8" t="s">
        <v>9</v>
      </c>
    </row>
    <row r="14" spans="1:35" s="4" customFormat="1" ht="15" customHeight="1" x14ac:dyDescent="0.25">
      <c r="A14" s="231" t="s">
        <v>15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</row>
    <row r="15" spans="1:35" s="4" customFormat="1" ht="6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35" s="4" customFormat="1" ht="15" x14ac:dyDescent="0.25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AI16" s="8" t="s">
        <v>9</v>
      </c>
    </row>
    <row r="17" spans="1:38" s="4" customFormat="1" ht="15" x14ac:dyDescent="0.25">
      <c r="A17" s="231" t="s">
        <v>16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</row>
    <row r="18" spans="1:38" s="4" customFormat="1" ht="17.25" customHeight="1" x14ac:dyDescent="0.25">
      <c r="A18" s="247" t="s">
        <v>17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38" s="4" customFormat="1" ht="8.2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38" s="4" customFormat="1" ht="15" x14ac:dyDescent="0.25">
      <c r="A20" s="246" t="s">
        <v>238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AJ20" s="8" t="s">
        <v>238</v>
      </c>
    </row>
    <row r="21" spans="1:38" s="4" customFormat="1" ht="11.25" customHeight="1" x14ac:dyDescent="0.25">
      <c r="A21" s="231" t="s">
        <v>19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</row>
    <row r="22" spans="1:38" s="4" customFormat="1" ht="12" customHeight="1" x14ac:dyDescent="0.25">
      <c r="A22" s="7" t="s">
        <v>20</v>
      </c>
      <c r="B22" s="16" t="s">
        <v>21</v>
      </c>
      <c r="C22" s="5" t="s">
        <v>22</v>
      </c>
      <c r="D22" s="5"/>
      <c r="E22" s="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38" s="4" customFormat="1" ht="15" x14ac:dyDescent="0.25">
      <c r="A23" s="7" t="s">
        <v>23</v>
      </c>
      <c r="B23" s="232"/>
      <c r="C23" s="232"/>
      <c r="D23" s="232"/>
      <c r="E23" s="232"/>
      <c r="F23" s="232"/>
      <c r="G23" s="17"/>
      <c r="H23" s="17"/>
      <c r="I23" s="17"/>
      <c r="J23" s="17"/>
      <c r="K23" s="17"/>
      <c r="L23" s="17"/>
      <c r="M23" s="17"/>
      <c r="N23" s="17"/>
      <c r="O23" s="17"/>
      <c r="P23" s="17"/>
      <c r="AK23" s="8" t="s">
        <v>9</v>
      </c>
    </row>
    <row r="24" spans="1:38" s="4" customFormat="1" ht="10.5" customHeight="1" x14ac:dyDescent="0.25">
      <c r="A24" s="7"/>
      <c r="B24" s="233" t="s">
        <v>24</v>
      </c>
      <c r="C24" s="233"/>
      <c r="D24" s="233"/>
      <c r="E24" s="233"/>
      <c r="F24" s="233"/>
      <c r="G24" s="18"/>
      <c r="H24" s="18"/>
      <c r="I24" s="18"/>
      <c r="J24" s="18"/>
      <c r="K24" s="18"/>
      <c r="L24" s="18"/>
      <c r="M24" s="18"/>
      <c r="N24" s="18"/>
      <c r="O24" s="19"/>
      <c r="P24" s="18"/>
    </row>
    <row r="25" spans="1:38" s="4" customFormat="1" ht="9.75" customHeight="1" x14ac:dyDescent="0.25">
      <c r="A25" s="7"/>
      <c r="B25" s="7"/>
      <c r="C25" s="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8"/>
      <c r="P25" s="18"/>
    </row>
    <row r="26" spans="1:38" s="4" customFormat="1" ht="15" x14ac:dyDescent="0.25">
      <c r="A26" s="21" t="s">
        <v>25</v>
      </c>
      <c r="B26" s="22"/>
      <c r="C26" s="234"/>
      <c r="D26" s="234"/>
      <c r="E26" s="234"/>
      <c r="F26" s="234"/>
      <c r="G26" s="8"/>
      <c r="H26" s="8"/>
      <c r="I26" s="8"/>
      <c r="J26" s="8"/>
      <c r="K26" s="8"/>
      <c r="L26" s="8"/>
      <c r="M26" s="8"/>
      <c r="N26" s="8"/>
      <c r="O26" s="8"/>
      <c r="P26" s="8"/>
      <c r="AL26" s="8" t="s">
        <v>9</v>
      </c>
    </row>
    <row r="27" spans="1:38" s="4" customFormat="1" ht="9.75" customHeight="1" x14ac:dyDescent="0.25">
      <c r="A27" s="7"/>
      <c r="B27" s="22"/>
      <c r="C27" s="23"/>
      <c r="D27" s="24"/>
      <c r="E27" s="24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38" s="4" customFormat="1" ht="12" customHeight="1" x14ac:dyDescent="0.25">
      <c r="A28" s="21" t="s">
        <v>26</v>
      </c>
      <c r="B28" s="22"/>
      <c r="C28" s="26"/>
      <c r="D28" s="27">
        <v>2227.92</v>
      </c>
      <c r="E28" s="28" t="s">
        <v>27</v>
      </c>
      <c r="G28" s="22"/>
      <c r="H28" s="22"/>
      <c r="I28" s="22"/>
      <c r="J28" s="22"/>
      <c r="K28" s="22"/>
      <c r="L28" s="22"/>
      <c r="M28" s="22"/>
      <c r="N28" s="29"/>
      <c r="O28" s="29"/>
      <c r="P28" s="22"/>
    </row>
    <row r="29" spans="1:38" s="4" customFormat="1" ht="12" customHeight="1" x14ac:dyDescent="0.25">
      <c r="A29" s="7"/>
      <c r="B29" s="30" t="s">
        <v>28</v>
      </c>
      <c r="C29" s="31"/>
      <c r="D29" s="32"/>
      <c r="E29" s="28"/>
      <c r="G29" s="22"/>
    </row>
    <row r="30" spans="1:38" s="4" customFormat="1" ht="12" customHeight="1" x14ac:dyDescent="0.25">
      <c r="A30" s="7"/>
      <c r="B30" s="33" t="s">
        <v>29</v>
      </c>
      <c r="C30" s="26"/>
      <c r="D30" s="27">
        <v>2227.92</v>
      </c>
      <c r="E30" s="28" t="s">
        <v>27</v>
      </c>
      <c r="I30" s="22"/>
      <c r="K30" s="22" t="s">
        <v>30</v>
      </c>
      <c r="L30" s="22"/>
      <c r="M30" s="22"/>
      <c r="N30" s="34"/>
      <c r="O30" s="27">
        <v>278.64</v>
      </c>
      <c r="P30" s="28" t="s">
        <v>27</v>
      </c>
    </row>
    <row r="31" spans="1:38" s="4" customFormat="1" ht="12" customHeight="1" x14ac:dyDescent="0.25">
      <c r="A31" s="7"/>
      <c r="B31" s="33" t="s">
        <v>31</v>
      </c>
      <c r="C31" s="35"/>
      <c r="D31" s="36">
        <v>0</v>
      </c>
      <c r="E31" s="28" t="s">
        <v>27</v>
      </c>
      <c r="I31" s="22"/>
      <c r="K31" s="22" t="s">
        <v>32</v>
      </c>
      <c r="L31" s="22"/>
      <c r="M31" s="22"/>
      <c r="N31" s="34"/>
      <c r="O31" s="27">
        <v>0</v>
      </c>
      <c r="P31" s="28" t="s">
        <v>27</v>
      </c>
    </row>
    <row r="32" spans="1:38" s="4" customFormat="1" ht="12" customHeight="1" x14ac:dyDescent="0.25">
      <c r="A32" s="7"/>
      <c r="B32" s="33" t="s">
        <v>33</v>
      </c>
      <c r="C32" s="35"/>
      <c r="D32" s="36">
        <v>0</v>
      </c>
      <c r="E32" s="28" t="s">
        <v>27</v>
      </c>
      <c r="I32" s="22"/>
      <c r="K32" s="22" t="s">
        <v>34</v>
      </c>
      <c r="L32" s="22"/>
      <c r="M32" s="22"/>
      <c r="N32" s="37"/>
      <c r="O32" s="36">
        <v>596.52</v>
      </c>
      <c r="P32" s="38" t="s">
        <v>35</v>
      </c>
    </row>
    <row r="33" spans="1:53" s="4" customFormat="1" ht="12" customHeight="1" x14ac:dyDescent="0.25">
      <c r="A33" s="7"/>
      <c r="B33" s="33" t="s">
        <v>36</v>
      </c>
      <c r="C33" s="35"/>
      <c r="D33" s="27">
        <v>0</v>
      </c>
      <c r="E33" s="28" t="s">
        <v>27</v>
      </c>
      <c r="I33" s="22"/>
      <c r="K33" s="22" t="s">
        <v>37</v>
      </c>
      <c r="L33" s="22"/>
      <c r="M33" s="22"/>
      <c r="N33" s="37"/>
      <c r="O33" s="36">
        <v>52.46</v>
      </c>
      <c r="P33" s="38" t="s">
        <v>35</v>
      </c>
    </row>
    <row r="34" spans="1:53" s="4" customFormat="1" ht="15" x14ac:dyDescent="0.25">
      <c r="A34" s="7"/>
      <c r="B34" s="22"/>
      <c r="D34" s="39"/>
      <c r="E34" s="28"/>
      <c r="H34" s="22"/>
      <c r="I34" s="22"/>
      <c r="J34" s="22"/>
      <c r="K34" s="22"/>
      <c r="L34" s="22"/>
      <c r="M34" s="22"/>
      <c r="N34" s="119" t="s">
        <v>243</v>
      </c>
      <c r="O34" s="100">
        <v>100</v>
      </c>
      <c r="P34" s="111" t="s">
        <v>244</v>
      </c>
    </row>
    <row r="35" spans="1:53" s="4" customFormat="1" ht="11.25" customHeight="1" x14ac:dyDescent="0.25">
      <c r="A35" s="235" t="s">
        <v>38</v>
      </c>
      <c r="B35" s="236" t="s">
        <v>39</v>
      </c>
      <c r="C35" s="237" t="s">
        <v>40</v>
      </c>
      <c r="D35" s="238"/>
      <c r="E35" s="238"/>
      <c r="F35" s="238"/>
      <c r="G35" s="239"/>
      <c r="H35" s="236" t="s">
        <v>41</v>
      </c>
      <c r="I35" s="236" t="s">
        <v>42</v>
      </c>
      <c r="J35" s="236"/>
      <c r="K35" s="236"/>
      <c r="L35" s="237" t="s">
        <v>43</v>
      </c>
      <c r="M35" s="238"/>
      <c r="N35" s="238"/>
      <c r="O35" s="238"/>
      <c r="P35" s="239"/>
    </row>
    <row r="36" spans="1:53" s="4" customFormat="1" ht="11.25" customHeight="1" x14ac:dyDescent="0.25">
      <c r="A36" s="235"/>
      <c r="B36" s="236"/>
      <c r="C36" s="240"/>
      <c r="D36" s="241"/>
      <c r="E36" s="241"/>
      <c r="F36" s="241"/>
      <c r="G36" s="242"/>
      <c r="H36" s="236"/>
      <c r="I36" s="236"/>
      <c r="J36" s="236"/>
      <c r="K36" s="236"/>
      <c r="L36" s="243"/>
      <c r="M36" s="244"/>
      <c r="N36" s="244"/>
      <c r="O36" s="244"/>
      <c r="P36" s="245"/>
    </row>
    <row r="37" spans="1:53" s="4" customFormat="1" ht="54" customHeight="1" x14ac:dyDescent="0.25">
      <c r="A37" s="235"/>
      <c r="B37" s="236"/>
      <c r="C37" s="243"/>
      <c r="D37" s="244"/>
      <c r="E37" s="244"/>
      <c r="F37" s="244"/>
      <c r="G37" s="245"/>
      <c r="H37" s="236"/>
      <c r="I37" s="40" t="s">
        <v>44</v>
      </c>
      <c r="J37" s="40" t="s">
        <v>45</v>
      </c>
      <c r="K37" s="40" t="s">
        <v>46</v>
      </c>
      <c r="L37" s="40" t="s">
        <v>47</v>
      </c>
      <c r="M37" s="40" t="s">
        <v>48</v>
      </c>
      <c r="N37" s="40" t="s">
        <v>49</v>
      </c>
      <c r="O37" s="40" t="s">
        <v>45</v>
      </c>
      <c r="P37" s="40" t="s">
        <v>50</v>
      </c>
    </row>
    <row r="38" spans="1:53" s="4" customFormat="1" ht="13.5" customHeight="1" x14ac:dyDescent="0.25">
      <c r="A38" s="41">
        <v>1</v>
      </c>
      <c r="B38" s="42">
        <v>2</v>
      </c>
      <c r="C38" s="228">
        <v>3</v>
      </c>
      <c r="D38" s="229"/>
      <c r="E38" s="229"/>
      <c r="F38" s="229"/>
      <c r="G38" s="230"/>
      <c r="H38" s="42">
        <v>4</v>
      </c>
      <c r="I38" s="42">
        <v>5</v>
      </c>
      <c r="J38" s="42">
        <v>6</v>
      </c>
      <c r="K38" s="42">
        <v>7</v>
      </c>
      <c r="L38" s="42">
        <v>8</v>
      </c>
      <c r="M38" s="42">
        <v>9</v>
      </c>
      <c r="N38" s="42">
        <v>10</v>
      </c>
      <c r="O38" s="42">
        <v>11</v>
      </c>
      <c r="P38" s="42">
        <v>12</v>
      </c>
    </row>
    <row r="39" spans="1:53" s="22" customFormat="1" ht="15" x14ac:dyDescent="0.25">
      <c r="A39" s="225" t="s">
        <v>252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7"/>
      <c r="Q39" s="4"/>
      <c r="R39" s="4"/>
      <c r="S39" s="4"/>
      <c r="T39" s="4"/>
      <c r="U39" s="4"/>
      <c r="V39" s="4"/>
      <c r="W39" s="4"/>
      <c r="X39" s="4"/>
      <c r="Y39" s="4"/>
      <c r="Z39" s="4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3" t="s">
        <v>204</v>
      </c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</row>
    <row r="40" spans="1:53" s="22" customFormat="1" ht="15" x14ac:dyDescent="0.25">
      <c r="A40" s="225" t="s">
        <v>52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7"/>
      <c r="Q40" s="4"/>
      <c r="R40" s="4"/>
      <c r="S40" s="4"/>
      <c r="T40" s="4"/>
      <c r="U40" s="4"/>
      <c r="V40" s="4"/>
      <c r="W40" s="4"/>
      <c r="X40" s="4"/>
      <c r="Y40" s="4"/>
      <c r="Z40" s="4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3"/>
      <c r="AN40" s="43" t="s">
        <v>52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s="22" customFormat="1" ht="23.25" x14ac:dyDescent="0.25">
      <c r="A41" s="44" t="s">
        <v>53</v>
      </c>
      <c r="B41" s="45" t="s">
        <v>160</v>
      </c>
      <c r="C41" s="224" t="s">
        <v>161</v>
      </c>
      <c r="D41" s="224"/>
      <c r="E41" s="224"/>
      <c r="F41" s="224"/>
      <c r="G41" s="224"/>
      <c r="H41" s="46" t="s">
        <v>162</v>
      </c>
      <c r="I41" s="47">
        <f>0.089/100*$O$34</f>
        <v>8.8999999999999996E-2</v>
      </c>
      <c r="J41" s="48">
        <v>1</v>
      </c>
      <c r="K41" s="70">
        <v>8.8999999999999996E-2</v>
      </c>
      <c r="L41" s="50"/>
      <c r="M41" s="47"/>
      <c r="N41" s="50"/>
      <c r="O41" s="47"/>
      <c r="P41" s="51"/>
      <c r="Q41" s="4"/>
      <c r="R41" s="4"/>
      <c r="S41" s="4"/>
      <c r="T41" s="4"/>
      <c r="U41" s="4"/>
      <c r="V41" s="4"/>
      <c r="W41" s="4"/>
      <c r="X41" s="4"/>
      <c r="Y41" s="4"/>
      <c r="Z41" s="4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3"/>
      <c r="AN41" s="43"/>
      <c r="AO41" s="43" t="s">
        <v>161</v>
      </c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  <row r="42" spans="1:53" s="22" customFormat="1" ht="15" x14ac:dyDescent="0.25">
      <c r="A42" s="52"/>
      <c r="B42" s="53"/>
      <c r="C42" s="222" t="s">
        <v>57</v>
      </c>
      <c r="D42" s="222"/>
      <c r="E42" s="222"/>
      <c r="F42" s="222"/>
      <c r="G42" s="222"/>
      <c r="H42" s="46"/>
      <c r="I42" s="47"/>
      <c r="J42" s="47"/>
      <c r="K42" s="47"/>
      <c r="L42" s="50"/>
      <c r="M42" s="47"/>
      <c r="N42" s="54"/>
      <c r="O42" s="47"/>
      <c r="P42" s="55">
        <f>2232/100*$O$34</f>
        <v>2232</v>
      </c>
      <c r="Q42" s="56"/>
      <c r="R42" s="56"/>
      <c r="S42" s="4"/>
      <c r="T42" s="4"/>
      <c r="U42" s="4"/>
      <c r="V42" s="4"/>
      <c r="W42" s="4"/>
      <c r="X42" s="4"/>
      <c r="Y42" s="4"/>
      <c r="Z42" s="4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3"/>
      <c r="AN42" s="43"/>
      <c r="AO42" s="43"/>
      <c r="AP42" s="43" t="s">
        <v>57</v>
      </c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3" s="22" customFormat="1" ht="15" x14ac:dyDescent="0.25">
      <c r="A43" s="57"/>
      <c r="B43" s="58"/>
      <c r="C43" s="223" t="s">
        <v>58</v>
      </c>
      <c r="D43" s="223"/>
      <c r="E43" s="223"/>
      <c r="F43" s="223"/>
      <c r="G43" s="223"/>
      <c r="H43" s="59"/>
      <c r="I43" s="60"/>
      <c r="J43" s="60"/>
      <c r="K43" s="60"/>
      <c r="L43" s="61"/>
      <c r="M43" s="60"/>
      <c r="N43" s="61"/>
      <c r="O43" s="60"/>
      <c r="P43" s="66">
        <f>226/100*$O$34</f>
        <v>225.99999999999997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3"/>
      <c r="AN43" s="43"/>
      <c r="AO43" s="43"/>
      <c r="AP43" s="43"/>
      <c r="AQ43" s="8" t="s">
        <v>58</v>
      </c>
      <c r="AR43" s="8"/>
      <c r="AS43" s="8"/>
      <c r="AT43" s="8"/>
      <c r="AU43" s="8"/>
      <c r="AV43" s="8"/>
      <c r="AW43" s="8"/>
      <c r="AX43" s="8"/>
      <c r="AY43" s="8"/>
      <c r="AZ43" s="8"/>
      <c r="BA43" s="8"/>
    </row>
    <row r="44" spans="1:53" s="22" customFormat="1" ht="23.25" x14ac:dyDescent="0.25">
      <c r="A44" s="57"/>
      <c r="B44" s="58" t="s">
        <v>73</v>
      </c>
      <c r="C44" s="223" t="s">
        <v>74</v>
      </c>
      <c r="D44" s="223"/>
      <c r="E44" s="223"/>
      <c r="F44" s="223"/>
      <c r="G44" s="223"/>
      <c r="H44" s="59" t="s">
        <v>61</v>
      </c>
      <c r="I44" s="63">
        <v>92</v>
      </c>
      <c r="J44" s="60"/>
      <c r="K44" s="63">
        <v>92</v>
      </c>
      <c r="L44" s="61"/>
      <c r="M44" s="60"/>
      <c r="N44" s="61"/>
      <c r="O44" s="60"/>
      <c r="P44" s="95">
        <f>P43*K44%</f>
        <v>207.92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3"/>
      <c r="AN44" s="43"/>
      <c r="AO44" s="43"/>
      <c r="AP44" s="43"/>
      <c r="AQ44" s="8" t="s">
        <v>74</v>
      </c>
      <c r="AR44" s="8"/>
      <c r="AS44" s="8"/>
      <c r="AT44" s="8"/>
      <c r="AU44" s="8"/>
      <c r="AV44" s="8"/>
      <c r="AW44" s="8"/>
      <c r="AX44" s="8"/>
      <c r="AY44" s="8"/>
      <c r="AZ44" s="8"/>
      <c r="BA44" s="8"/>
    </row>
    <row r="45" spans="1:53" s="22" customFormat="1" ht="23.25" x14ac:dyDescent="0.25">
      <c r="A45" s="57"/>
      <c r="B45" s="58" t="s">
        <v>75</v>
      </c>
      <c r="C45" s="223" t="s">
        <v>76</v>
      </c>
      <c r="D45" s="223"/>
      <c r="E45" s="223"/>
      <c r="F45" s="223"/>
      <c r="G45" s="223"/>
      <c r="H45" s="59" t="s">
        <v>61</v>
      </c>
      <c r="I45" s="63">
        <v>46</v>
      </c>
      <c r="J45" s="60"/>
      <c r="K45" s="63">
        <v>46</v>
      </c>
      <c r="L45" s="61"/>
      <c r="M45" s="60"/>
      <c r="N45" s="61"/>
      <c r="O45" s="60"/>
      <c r="P45" s="95">
        <f>P43*K45%</f>
        <v>103.96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3"/>
      <c r="AN45" s="43"/>
      <c r="AO45" s="43"/>
      <c r="AP45" s="43"/>
      <c r="AQ45" s="8" t="s">
        <v>76</v>
      </c>
      <c r="AR45" s="8"/>
      <c r="AS45" s="8"/>
      <c r="AT45" s="8"/>
      <c r="AU45" s="8"/>
      <c r="AV45" s="8"/>
      <c r="AW45" s="8"/>
      <c r="AX45" s="8"/>
      <c r="AY45" s="8"/>
      <c r="AZ45" s="8"/>
      <c r="BA45" s="8"/>
    </row>
    <row r="46" spans="1:53" s="22" customFormat="1" ht="15" x14ac:dyDescent="0.25">
      <c r="A46" s="64"/>
      <c r="B46" s="65"/>
      <c r="C46" s="222" t="s">
        <v>64</v>
      </c>
      <c r="D46" s="222"/>
      <c r="E46" s="222"/>
      <c r="F46" s="222"/>
      <c r="G46" s="222"/>
      <c r="H46" s="46"/>
      <c r="I46" s="47"/>
      <c r="J46" s="47"/>
      <c r="K46" s="47"/>
      <c r="L46" s="50"/>
      <c r="M46" s="47"/>
      <c r="N46" s="54">
        <v>28584.27</v>
      </c>
      <c r="O46" s="47"/>
      <c r="P46" s="96">
        <f>P42+P44+P45</f>
        <v>2543.88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3"/>
      <c r="AN46" s="43"/>
      <c r="AO46" s="43"/>
      <c r="AP46" s="43"/>
      <c r="AQ46" s="8"/>
      <c r="AR46" s="43" t="s">
        <v>64</v>
      </c>
      <c r="AS46" s="8"/>
      <c r="AT46" s="8"/>
      <c r="AU46" s="8"/>
      <c r="AV46" s="8"/>
      <c r="AW46" s="8"/>
      <c r="AX46" s="8"/>
      <c r="AY46" s="8"/>
      <c r="AZ46" s="8"/>
      <c r="BA46" s="8"/>
    </row>
    <row r="47" spans="1:53" s="22" customFormat="1" ht="23.25" x14ac:dyDescent="0.25">
      <c r="A47" s="44" t="s">
        <v>65</v>
      </c>
      <c r="B47" s="45" t="s">
        <v>54</v>
      </c>
      <c r="C47" s="224" t="s">
        <v>55</v>
      </c>
      <c r="D47" s="224"/>
      <c r="E47" s="224"/>
      <c r="F47" s="224"/>
      <c r="G47" s="224"/>
      <c r="H47" s="46" t="s">
        <v>56</v>
      </c>
      <c r="I47" s="47">
        <f>0.09/100*$O$34</f>
        <v>0.09</v>
      </c>
      <c r="J47" s="48">
        <v>1</v>
      </c>
      <c r="K47" s="49">
        <v>0.09</v>
      </c>
      <c r="L47" s="50"/>
      <c r="M47" s="47"/>
      <c r="N47" s="50"/>
      <c r="O47" s="47"/>
      <c r="P47" s="51"/>
      <c r="Q47" s="4"/>
      <c r="R47" s="4"/>
      <c r="S47" s="4"/>
      <c r="T47" s="4"/>
      <c r="U47" s="4"/>
      <c r="V47" s="4"/>
      <c r="W47" s="4"/>
      <c r="X47" s="4"/>
      <c r="Y47" s="4"/>
      <c r="Z47" s="4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3"/>
      <c r="AN47" s="43"/>
      <c r="AO47" s="43" t="s">
        <v>55</v>
      </c>
      <c r="AP47" s="43"/>
      <c r="AQ47" s="8"/>
      <c r="AR47" s="43"/>
      <c r="AS47" s="8"/>
      <c r="AT47" s="8"/>
      <c r="AU47" s="8"/>
      <c r="AV47" s="8"/>
      <c r="AW47" s="8"/>
      <c r="AX47" s="8"/>
      <c r="AY47" s="8"/>
      <c r="AZ47" s="8"/>
      <c r="BA47" s="8"/>
    </row>
    <row r="48" spans="1:53" s="22" customFormat="1" ht="15" x14ac:dyDescent="0.25">
      <c r="A48" s="52"/>
      <c r="B48" s="53"/>
      <c r="C48" s="222" t="s">
        <v>57</v>
      </c>
      <c r="D48" s="222"/>
      <c r="E48" s="222"/>
      <c r="F48" s="222"/>
      <c r="G48" s="222"/>
      <c r="H48" s="46"/>
      <c r="I48" s="47"/>
      <c r="J48" s="47"/>
      <c r="K48" s="47"/>
      <c r="L48" s="50"/>
      <c r="M48" s="47"/>
      <c r="N48" s="54"/>
      <c r="O48" s="47"/>
      <c r="P48" s="55">
        <f>3843/100*$O$34</f>
        <v>3843</v>
      </c>
      <c r="Q48" s="56"/>
      <c r="R48" s="56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3"/>
      <c r="AN48" s="43"/>
      <c r="AO48" s="43"/>
      <c r="AP48" s="43" t="s">
        <v>57</v>
      </c>
      <c r="AQ48" s="8"/>
      <c r="AR48" s="43"/>
      <c r="AS48" s="8"/>
      <c r="AT48" s="8"/>
      <c r="AU48" s="8"/>
      <c r="AV48" s="8"/>
      <c r="AW48" s="8"/>
      <c r="AX48" s="8"/>
      <c r="AY48" s="8"/>
      <c r="AZ48" s="8"/>
      <c r="BA48" s="8"/>
    </row>
    <row r="49" spans="1:53" s="22" customFormat="1" ht="15" x14ac:dyDescent="0.25">
      <c r="A49" s="57"/>
      <c r="B49" s="58"/>
      <c r="C49" s="223" t="s">
        <v>58</v>
      </c>
      <c r="D49" s="223"/>
      <c r="E49" s="223"/>
      <c r="F49" s="223"/>
      <c r="G49" s="223"/>
      <c r="H49" s="59"/>
      <c r="I49" s="60"/>
      <c r="J49" s="60"/>
      <c r="K49" s="60"/>
      <c r="L49" s="61"/>
      <c r="M49" s="60"/>
      <c r="N49" s="61"/>
      <c r="O49" s="60"/>
      <c r="P49" s="62">
        <f>3843/100*$O$34</f>
        <v>3843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3"/>
      <c r="AN49" s="43"/>
      <c r="AO49" s="43"/>
      <c r="AP49" s="43"/>
      <c r="AQ49" s="8" t="s">
        <v>58</v>
      </c>
      <c r="AR49" s="43"/>
      <c r="AS49" s="8"/>
      <c r="AT49" s="8"/>
      <c r="AU49" s="8"/>
      <c r="AV49" s="8"/>
      <c r="AW49" s="8"/>
      <c r="AX49" s="8"/>
      <c r="AY49" s="8"/>
      <c r="AZ49" s="8"/>
      <c r="BA49" s="8"/>
    </row>
    <row r="50" spans="1:53" s="22" customFormat="1" ht="15" x14ac:dyDescent="0.25">
      <c r="A50" s="57"/>
      <c r="B50" s="58" t="s">
        <v>59</v>
      </c>
      <c r="C50" s="223" t="s">
        <v>60</v>
      </c>
      <c r="D50" s="223"/>
      <c r="E50" s="223"/>
      <c r="F50" s="223"/>
      <c r="G50" s="223"/>
      <c r="H50" s="59" t="s">
        <v>61</v>
      </c>
      <c r="I50" s="63">
        <v>89</v>
      </c>
      <c r="J50" s="60"/>
      <c r="K50" s="63">
        <v>89</v>
      </c>
      <c r="L50" s="61"/>
      <c r="M50" s="60"/>
      <c r="N50" s="61"/>
      <c r="O50" s="60"/>
      <c r="P50" s="95">
        <f>P49*K50%</f>
        <v>3420.27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43"/>
      <c r="AN50" s="43"/>
      <c r="AO50" s="43"/>
      <c r="AP50" s="43"/>
      <c r="AQ50" s="8" t="s">
        <v>60</v>
      </c>
      <c r="AR50" s="43"/>
      <c r="AS50" s="8"/>
      <c r="AT50" s="8"/>
      <c r="AU50" s="8"/>
      <c r="AV50" s="8"/>
      <c r="AW50" s="8"/>
      <c r="AX50" s="8"/>
      <c r="AY50" s="8"/>
      <c r="AZ50" s="8"/>
      <c r="BA50" s="8"/>
    </row>
    <row r="51" spans="1:53" s="22" customFormat="1" ht="15" x14ac:dyDescent="0.25">
      <c r="A51" s="57"/>
      <c r="B51" s="58" t="s">
        <v>62</v>
      </c>
      <c r="C51" s="223" t="s">
        <v>63</v>
      </c>
      <c r="D51" s="223"/>
      <c r="E51" s="223"/>
      <c r="F51" s="223"/>
      <c r="G51" s="223"/>
      <c r="H51" s="59" t="s">
        <v>61</v>
      </c>
      <c r="I51" s="63">
        <v>40</v>
      </c>
      <c r="J51" s="60"/>
      <c r="K51" s="63">
        <v>40</v>
      </c>
      <c r="L51" s="61"/>
      <c r="M51" s="60"/>
      <c r="N51" s="61"/>
      <c r="O51" s="60"/>
      <c r="P51" s="95">
        <f>P49*K51%</f>
        <v>1537.2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43"/>
      <c r="AN51" s="43"/>
      <c r="AO51" s="43"/>
      <c r="AP51" s="43"/>
      <c r="AQ51" s="8" t="s">
        <v>63</v>
      </c>
      <c r="AR51" s="43"/>
      <c r="AS51" s="8"/>
      <c r="AT51" s="8"/>
      <c r="AU51" s="8"/>
      <c r="AV51" s="8"/>
      <c r="AW51" s="8"/>
      <c r="AX51" s="8"/>
      <c r="AY51" s="8"/>
      <c r="AZ51" s="8"/>
      <c r="BA51" s="8"/>
    </row>
    <row r="52" spans="1:53" s="22" customFormat="1" ht="15" x14ac:dyDescent="0.25">
      <c r="A52" s="64"/>
      <c r="B52" s="65"/>
      <c r="C52" s="222" t="s">
        <v>64</v>
      </c>
      <c r="D52" s="222"/>
      <c r="E52" s="222"/>
      <c r="F52" s="222"/>
      <c r="G52" s="222"/>
      <c r="H52" s="46"/>
      <c r="I52" s="47"/>
      <c r="J52" s="47"/>
      <c r="K52" s="47"/>
      <c r="L52" s="50"/>
      <c r="M52" s="47"/>
      <c r="N52" s="54">
        <v>97777.78</v>
      </c>
      <c r="O52" s="47"/>
      <c r="P52" s="96">
        <f>P48+P50+P51</f>
        <v>8800.4700000000012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43"/>
      <c r="AN52" s="43"/>
      <c r="AO52" s="43"/>
      <c r="AP52" s="43"/>
      <c r="AQ52" s="8"/>
      <c r="AR52" s="43" t="s">
        <v>64</v>
      </c>
      <c r="AS52" s="8"/>
      <c r="AT52" s="8"/>
      <c r="AU52" s="8"/>
      <c r="AV52" s="8"/>
      <c r="AW52" s="8"/>
      <c r="AX52" s="8"/>
      <c r="AY52" s="8"/>
      <c r="AZ52" s="8"/>
      <c r="BA52" s="8"/>
    </row>
    <row r="53" spans="1:53" s="22" customFormat="1" ht="23.25" x14ac:dyDescent="0.25">
      <c r="A53" s="44" t="s">
        <v>69</v>
      </c>
      <c r="B53" s="45" t="s">
        <v>66</v>
      </c>
      <c r="C53" s="224" t="s">
        <v>163</v>
      </c>
      <c r="D53" s="224"/>
      <c r="E53" s="224"/>
      <c r="F53" s="224"/>
      <c r="G53" s="224"/>
      <c r="H53" s="46" t="s">
        <v>56</v>
      </c>
      <c r="I53" s="47">
        <f>0.09/100*$O$34</f>
        <v>0.09</v>
      </c>
      <c r="J53" s="48">
        <v>1</v>
      </c>
      <c r="K53" s="49">
        <v>0.09</v>
      </c>
      <c r="L53" s="50"/>
      <c r="M53" s="47"/>
      <c r="N53" s="50"/>
      <c r="O53" s="47"/>
      <c r="P53" s="51"/>
      <c r="Q53" s="4"/>
      <c r="R53" s="4"/>
      <c r="S53" s="4"/>
      <c r="T53" s="4"/>
      <c r="U53" s="4"/>
      <c r="V53" s="4"/>
      <c r="W53" s="4"/>
      <c r="X53" s="4"/>
      <c r="Y53" s="4"/>
      <c r="Z53" s="4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43"/>
      <c r="AN53" s="43"/>
      <c r="AO53" s="43" t="s">
        <v>163</v>
      </c>
      <c r="AP53" s="43"/>
      <c r="AQ53" s="8"/>
      <c r="AR53" s="43"/>
      <c r="AS53" s="8"/>
      <c r="AT53" s="8"/>
      <c r="AU53" s="8"/>
      <c r="AV53" s="8"/>
      <c r="AW53" s="8"/>
      <c r="AX53" s="8"/>
      <c r="AY53" s="8"/>
      <c r="AZ53" s="8"/>
      <c r="BA53" s="8"/>
    </row>
    <row r="54" spans="1:53" s="22" customFormat="1" ht="15" x14ac:dyDescent="0.25">
      <c r="A54" s="52"/>
      <c r="B54" s="53"/>
      <c r="C54" s="222" t="s">
        <v>57</v>
      </c>
      <c r="D54" s="222"/>
      <c r="E54" s="222"/>
      <c r="F54" s="222"/>
      <c r="G54" s="222"/>
      <c r="H54" s="46"/>
      <c r="I54" s="47"/>
      <c r="J54" s="47"/>
      <c r="K54" s="47"/>
      <c r="L54" s="50"/>
      <c r="M54" s="47"/>
      <c r="N54" s="54"/>
      <c r="O54" s="47"/>
      <c r="P54" s="55">
        <f>2764/100*$O$34</f>
        <v>2764</v>
      </c>
      <c r="Q54" s="56"/>
      <c r="R54" s="56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43"/>
      <c r="AN54" s="43"/>
      <c r="AO54" s="43"/>
      <c r="AP54" s="43" t="s">
        <v>57</v>
      </c>
      <c r="AQ54" s="8"/>
      <c r="AR54" s="43"/>
      <c r="AS54" s="8"/>
      <c r="AT54" s="8"/>
      <c r="AU54" s="8"/>
      <c r="AV54" s="8"/>
      <c r="AW54" s="8"/>
      <c r="AX54" s="8"/>
      <c r="AY54" s="8"/>
      <c r="AZ54" s="8"/>
      <c r="BA54" s="8"/>
    </row>
    <row r="55" spans="1:53" s="22" customFormat="1" ht="15" x14ac:dyDescent="0.25">
      <c r="A55" s="57"/>
      <c r="B55" s="58"/>
      <c r="C55" s="223" t="s">
        <v>58</v>
      </c>
      <c r="D55" s="223"/>
      <c r="E55" s="223"/>
      <c r="F55" s="223"/>
      <c r="G55" s="223"/>
      <c r="H55" s="59"/>
      <c r="I55" s="60"/>
      <c r="J55" s="60"/>
      <c r="K55" s="60"/>
      <c r="L55" s="61"/>
      <c r="M55" s="60"/>
      <c r="N55" s="61"/>
      <c r="O55" s="60"/>
      <c r="P55" s="62">
        <f>2764/100*$O$34</f>
        <v>2764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43"/>
      <c r="AN55" s="43"/>
      <c r="AO55" s="43"/>
      <c r="AP55" s="43"/>
      <c r="AQ55" s="8" t="s">
        <v>58</v>
      </c>
      <c r="AR55" s="43"/>
      <c r="AS55" s="8"/>
      <c r="AT55" s="8"/>
      <c r="AU55" s="8"/>
      <c r="AV55" s="8"/>
      <c r="AW55" s="8"/>
      <c r="AX55" s="8"/>
      <c r="AY55" s="8"/>
      <c r="AZ55" s="8"/>
      <c r="BA55" s="8"/>
    </row>
    <row r="56" spans="1:53" s="22" customFormat="1" ht="15" x14ac:dyDescent="0.25">
      <c r="A56" s="57"/>
      <c r="B56" s="58" t="s">
        <v>59</v>
      </c>
      <c r="C56" s="223" t="s">
        <v>60</v>
      </c>
      <c r="D56" s="223"/>
      <c r="E56" s="223"/>
      <c r="F56" s="223"/>
      <c r="G56" s="223"/>
      <c r="H56" s="59" t="s">
        <v>61</v>
      </c>
      <c r="I56" s="63">
        <v>89</v>
      </c>
      <c r="J56" s="60"/>
      <c r="K56" s="63">
        <v>89</v>
      </c>
      <c r="L56" s="61"/>
      <c r="M56" s="60"/>
      <c r="N56" s="61"/>
      <c r="O56" s="60"/>
      <c r="P56" s="95">
        <f>P55*K56%</f>
        <v>2459.96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43"/>
      <c r="AN56" s="43"/>
      <c r="AO56" s="43"/>
      <c r="AP56" s="43"/>
      <c r="AQ56" s="8" t="s">
        <v>60</v>
      </c>
      <c r="AR56" s="43"/>
      <c r="AS56" s="8"/>
      <c r="AT56" s="8"/>
      <c r="AU56" s="8"/>
      <c r="AV56" s="8"/>
      <c r="AW56" s="8"/>
      <c r="AX56" s="8"/>
      <c r="AY56" s="8"/>
      <c r="AZ56" s="8"/>
      <c r="BA56" s="8"/>
    </row>
    <row r="57" spans="1:53" s="22" customFormat="1" ht="15" x14ac:dyDescent="0.25">
      <c r="A57" s="57"/>
      <c r="B57" s="58" t="s">
        <v>62</v>
      </c>
      <c r="C57" s="223" t="s">
        <v>63</v>
      </c>
      <c r="D57" s="223"/>
      <c r="E57" s="223"/>
      <c r="F57" s="223"/>
      <c r="G57" s="223"/>
      <c r="H57" s="59" t="s">
        <v>61</v>
      </c>
      <c r="I57" s="63">
        <v>40</v>
      </c>
      <c r="J57" s="60"/>
      <c r="K57" s="63">
        <v>40</v>
      </c>
      <c r="L57" s="61"/>
      <c r="M57" s="60"/>
      <c r="N57" s="61"/>
      <c r="O57" s="60"/>
      <c r="P57" s="95">
        <f>P55*K57%</f>
        <v>1105.6000000000001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43"/>
      <c r="AN57" s="43"/>
      <c r="AO57" s="43"/>
      <c r="AP57" s="43"/>
      <c r="AQ57" s="8" t="s">
        <v>63</v>
      </c>
      <c r="AR57" s="43"/>
      <c r="AS57" s="8"/>
      <c r="AT57" s="8"/>
      <c r="AU57" s="8"/>
      <c r="AV57" s="8"/>
      <c r="AW57" s="8"/>
      <c r="AX57" s="8"/>
      <c r="AY57" s="8"/>
      <c r="AZ57" s="8"/>
      <c r="BA57" s="8"/>
    </row>
    <row r="58" spans="1:53" s="22" customFormat="1" ht="15" x14ac:dyDescent="0.25">
      <c r="A58" s="64"/>
      <c r="B58" s="65"/>
      <c r="C58" s="222" t="s">
        <v>64</v>
      </c>
      <c r="D58" s="222"/>
      <c r="E58" s="222"/>
      <c r="F58" s="222"/>
      <c r="G58" s="222"/>
      <c r="H58" s="46"/>
      <c r="I58" s="47"/>
      <c r="J58" s="47"/>
      <c r="K58" s="47"/>
      <c r="L58" s="50"/>
      <c r="M58" s="47"/>
      <c r="N58" s="54">
        <v>70333.33</v>
      </c>
      <c r="O58" s="47"/>
      <c r="P58" s="96">
        <f>P54+P56+P57</f>
        <v>6329.56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43"/>
      <c r="AN58" s="43"/>
      <c r="AO58" s="43"/>
      <c r="AP58" s="43"/>
      <c r="AQ58" s="8"/>
      <c r="AR58" s="43" t="s">
        <v>64</v>
      </c>
      <c r="AS58" s="8"/>
      <c r="AT58" s="8"/>
      <c r="AU58" s="8"/>
      <c r="AV58" s="8"/>
      <c r="AW58" s="8"/>
      <c r="AX58" s="8"/>
      <c r="AY58" s="8"/>
      <c r="AZ58" s="8"/>
      <c r="BA58" s="8"/>
    </row>
    <row r="59" spans="1:53" s="22" customFormat="1" ht="23.25" x14ac:dyDescent="0.25">
      <c r="A59" s="44" t="s">
        <v>77</v>
      </c>
      <c r="B59" s="45" t="s">
        <v>164</v>
      </c>
      <c r="C59" s="224" t="s">
        <v>165</v>
      </c>
      <c r="D59" s="224"/>
      <c r="E59" s="224"/>
      <c r="F59" s="224"/>
      <c r="G59" s="224"/>
      <c r="H59" s="46" t="s">
        <v>162</v>
      </c>
      <c r="I59" s="47">
        <f>0.089/100*$O$34</f>
        <v>8.8999999999999996E-2</v>
      </c>
      <c r="J59" s="48">
        <v>1</v>
      </c>
      <c r="K59" s="70">
        <v>8.8999999999999996E-2</v>
      </c>
      <c r="L59" s="50"/>
      <c r="M59" s="47"/>
      <c r="N59" s="50"/>
      <c r="O59" s="47"/>
      <c r="P59" s="51"/>
      <c r="Q59" s="4"/>
      <c r="R59" s="4"/>
      <c r="S59" s="4"/>
      <c r="T59" s="4"/>
      <c r="U59" s="4"/>
      <c r="V59" s="4"/>
      <c r="W59" s="4"/>
      <c r="X59" s="4"/>
      <c r="Y59" s="4"/>
      <c r="Z59" s="4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43"/>
      <c r="AN59" s="43"/>
      <c r="AO59" s="43" t="s">
        <v>165</v>
      </c>
      <c r="AP59" s="43"/>
      <c r="AQ59" s="8"/>
      <c r="AR59" s="43"/>
      <c r="AS59" s="8"/>
      <c r="AT59" s="8"/>
      <c r="AU59" s="8"/>
      <c r="AV59" s="8"/>
      <c r="AW59" s="8"/>
      <c r="AX59" s="8"/>
      <c r="AY59" s="8"/>
      <c r="AZ59" s="8"/>
      <c r="BA59" s="8"/>
    </row>
    <row r="60" spans="1:53" s="22" customFormat="1" ht="15" x14ac:dyDescent="0.25">
      <c r="A60" s="52"/>
      <c r="B60" s="53"/>
      <c r="C60" s="222" t="s">
        <v>57</v>
      </c>
      <c r="D60" s="222"/>
      <c r="E60" s="222"/>
      <c r="F60" s="222"/>
      <c r="G60" s="222"/>
      <c r="H60" s="46"/>
      <c r="I60" s="47"/>
      <c r="J60" s="47"/>
      <c r="K60" s="47"/>
      <c r="L60" s="50"/>
      <c r="M60" s="47"/>
      <c r="N60" s="54"/>
      <c r="O60" s="47"/>
      <c r="P60" s="55">
        <f>524/100*$O$34</f>
        <v>524</v>
      </c>
      <c r="Q60" s="56"/>
      <c r="R60" s="56"/>
      <c r="S60" s="4"/>
      <c r="T60" s="4"/>
      <c r="U60" s="4"/>
      <c r="V60" s="4"/>
      <c r="W60" s="4"/>
      <c r="X60" s="4"/>
      <c r="Y60" s="4"/>
      <c r="Z60" s="4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43"/>
      <c r="AN60" s="43"/>
      <c r="AO60" s="43"/>
      <c r="AP60" s="43" t="s">
        <v>57</v>
      </c>
      <c r="AQ60" s="8"/>
      <c r="AR60" s="43"/>
      <c r="AS60" s="8"/>
      <c r="AT60" s="8"/>
      <c r="AU60" s="8"/>
      <c r="AV60" s="8"/>
      <c r="AW60" s="8"/>
      <c r="AX60" s="8"/>
      <c r="AY60" s="8"/>
      <c r="AZ60" s="8"/>
      <c r="BA60" s="8"/>
    </row>
    <row r="61" spans="1:53" s="22" customFormat="1" ht="15" x14ac:dyDescent="0.25">
      <c r="A61" s="57"/>
      <c r="B61" s="58"/>
      <c r="C61" s="223" t="s">
        <v>58</v>
      </c>
      <c r="D61" s="223"/>
      <c r="E61" s="223"/>
      <c r="F61" s="223"/>
      <c r="G61" s="223"/>
      <c r="H61" s="59"/>
      <c r="I61" s="60"/>
      <c r="J61" s="60"/>
      <c r="K61" s="60"/>
      <c r="L61" s="61"/>
      <c r="M61" s="60"/>
      <c r="N61" s="61"/>
      <c r="O61" s="60"/>
      <c r="P61" s="92"/>
      <c r="Q61" s="4"/>
      <c r="R61" s="4"/>
      <c r="S61" s="4"/>
      <c r="T61" s="4"/>
      <c r="U61" s="4"/>
      <c r="V61" s="4"/>
      <c r="W61" s="4"/>
      <c r="X61" s="4"/>
      <c r="Y61" s="4"/>
      <c r="Z61" s="4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43"/>
      <c r="AN61" s="43"/>
      <c r="AO61" s="43"/>
      <c r="AP61" s="43"/>
      <c r="AQ61" s="8" t="s">
        <v>58</v>
      </c>
      <c r="AR61" s="43"/>
      <c r="AS61" s="8"/>
      <c r="AT61" s="8"/>
      <c r="AU61" s="8"/>
      <c r="AV61" s="8"/>
      <c r="AW61" s="8"/>
      <c r="AX61" s="8"/>
      <c r="AY61" s="8"/>
      <c r="AZ61" s="8"/>
      <c r="BA61" s="8"/>
    </row>
    <row r="62" spans="1:53" s="22" customFormat="1" ht="23.25" x14ac:dyDescent="0.25">
      <c r="A62" s="57"/>
      <c r="B62" s="58" t="s">
        <v>73</v>
      </c>
      <c r="C62" s="223" t="s">
        <v>74</v>
      </c>
      <c r="D62" s="223"/>
      <c r="E62" s="223"/>
      <c r="F62" s="223"/>
      <c r="G62" s="223"/>
      <c r="H62" s="59" t="s">
        <v>61</v>
      </c>
      <c r="I62" s="63">
        <v>92</v>
      </c>
      <c r="J62" s="60"/>
      <c r="K62" s="63">
        <v>92</v>
      </c>
      <c r="L62" s="61"/>
      <c r="M62" s="60"/>
      <c r="N62" s="61"/>
      <c r="O62" s="60"/>
      <c r="P62" s="92"/>
      <c r="Q62" s="4"/>
      <c r="R62" s="4"/>
      <c r="S62" s="4"/>
      <c r="T62" s="4"/>
      <c r="U62" s="4"/>
      <c r="V62" s="4"/>
      <c r="W62" s="4"/>
      <c r="X62" s="4"/>
      <c r="Y62" s="4"/>
      <c r="Z62" s="4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43"/>
      <c r="AN62" s="43"/>
      <c r="AO62" s="43"/>
      <c r="AP62" s="43"/>
      <c r="AQ62" s="8" t="s">
        <v>74</v>
      </c>
      <c r="AR62" s="43"/>
      <c r="AS62" s="8"/>
      <c r="AT62" s="8"/>
      <c r="AU62" s="8"/>
      <c r="AV62" s="8"/>
      <c r="AW62" s="8"/>
      <c r="AX62" s="8"/>
      <c r="AY62" s="8"/>
      <c r="AZ62" s="8"/>
      <c r="BA62" s="8"/>
    </row>
    <row r="63" spans="1:53" s="22" customFormat="1" ht="23.25" x14ac:dyDescent="0.25">
      <c r="A63" s="57"/>
      <c r="B63" s="58" t="s">
        <v>75</v>
      </c>
      <c r="C63" s="223" t="s">
        <v>76</v>
      </c>
      <c r="D63" s="223"/>
      <c r="E63" s="223"/>
      <c r="F63" s="223"/>
      <c r="G63" s="223"/>
      <c r="H63" s="59" t="s">
        <v>61</v>
      </c>
      <c r="I63" s="63">
        <v>46</v>
      </c>
      <c r="J63" s="60"/>
      <c r="K63" s="63">
        <v>46</v>
      </c>
      <c r="L63" s="61"/>
      <c r="M63" s="60"/>
      <c r="N63" s="61"/>
      <c r="O63" s="60"/>
      <c r="P63" s="92"/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43"/>
      <c r="AN63" s="43"/>
      <c r="AO63" s="43"/>
      <c r="AP63" s="43"/>
      <c r="AQ63" s="8" t="s">
        <v>76</v>
      </c>
      <c r="AR63" s="43"/>
      <c r="AS63" s="8"/>
      <c r="AT63" s="8"/>
      <c r="AU63" s="8"/>
      <c r="AV63" s="8"/>
      <c r="AW63" s="8"/>
      <c r="AX63" s="8"/>
      <c r="AY63" s="8"/>
      <c r="AZ63" s="8"/>
      <c r="BA63" s="8"/>
    </row>
    <row r="64" spans="1:53" s="22" customFormat="1" ht="15" x14ac:dyDescent="0.25">
      <c r="A64" s="64"/>
      <c r="B64" s="65"/>
      <c r="C64" s="222" t="s">
        <v>64</v>
      </c>
      <c r="D64" s="222"/>
      <c r="E64" s="222"/>
      <c r="F64" s="222"/>
      <c r="G64" s="222"/>
      <c r="H64" s="46"/>
      <c r="I64" s="47"/>
      <c r="J64" s="47"/>
      <c r="K64" s="47"/>
      <c r="L64" s="50"/>
      <c r="M64" s="47"/>
      <c r="N64" s="54">
        <v>5887.64</v>
      </c>
      <c r="O64" s="47"/>
      <c r="P64" s="69">
        <v>524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43"/>
      <c r="AN64" s="43"/>
      <c r="AO64" s="43"/>
      <c r="AP64" s="43"/>
      <c r="AQ64" s="8"/>
      <c r="AR64" s="43" t="s">
        <v>64</v>
      </c>
      <c r="AS64" s="8"/>
      <c r="AT64" s="8"/>
      <c r="AU64" s="8"/>
      <c r="AV64" s="8"/>
      <c r="AW64" s="8"/>
      <c r="AX64" s="8"/>
      <c r="AY64" s="8"/>
      <c r="AZ64" s="8"/>
      <c r="BA64" s="8"/>
    </row>
    <row r="65" spans="1:53" s="22" customFormat="1" ht="15" x14ac:dyDescent="0.25">
      <c r="A65" s="225" t="s">
        <v>68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7"/>
      <c r="Q65" s="4"/>
      <c r="R65" s="4"/>
      <c r="S65" s="4"/>
      <c r="T65" s="4"/>
      <c r="U65" s="4"/>
      <c r="V65" s="4"/>
      <c r="W65" s="4"/>
      <c r="X65" s="4"/>
      <c r="Y65" s="4"/>
      <c r="Z65" s="4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43"/>
      <c r="AN65" s="43" t="s">
        <v>68</v>
      </c>
      <c r="AO65" s="43"/>
      <c r="AP65" s="43"/>
      <c r="AQ65" s="8"/>
      <c r="AR65" s="43"/>
      <c r="AS65" s="8"/>
      <c r="AT65" s="8"/>
      <c r="AU65" s="8"/>
      <c r="AV65" s="8"/>
      <c r="AW65" s="8"/>
      <c r="AX65" s="8"/>
      <c r="AY65" s="8"/>
      <c r="AZ65" s="8"/>
      <c r="BA65" s="8"/>
    </row>
    <row r="66" spans="1:53" s="22" customFormat="1" ht="23.25" x14ac:dyDescent="0.25">
      <c r="A66" s="44" t="s">
        <v>81</v>
      </c>
      <c r="B66" s="45" t="s">
        <v>70</v>
      </c>
      <c r="C66" s="224" t="s">
        <v>71</v>
      </c>
      <c r="D66" s="224"/>
      <c r="E66" s="224"/>
      <c r="F66" s="224"/>
      <c r="G66" s="224"/>
      <c r="H66" s="46" t="s">
        <v>72</v>
      </c>
      <c r="I66" s="47">
        <f>1.03/100*$O$34</f>
        <v>1.03</v>
      </c>
      <c r="J66" s="48">
        <v>1</v>
      </c>
      <c r="K66" s="49">
        <v>1.03</v>
      </c>
      <c r="L66" s="50"/>
      <c r="M66" s="47"/>
      <c r="N66" s="50"/>
      <c r="O66" s="47"/>
      <c r="P66" s="51"/>
      <c r="Q66" s="4"/>
      <c r="R66" s="4"/>
      <c r="S66" s="4"/>
      <c r="T66" s="4"/>
      <c r="U66" s="4"/>
      <c r="V66" s="4"/>
      <c r="W66" s="4"/>
      <c r="X66" s="4"/>
      <c r="Y66" s="4"/>
      <c r="Z66" s="4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43"/>
      <c r="AN66" s="43"/>
      <c r="AO66" s="43" t="s">
        <v>71</v>
      </c>
      <c r="AP66" s="43"/>
      <c r="AQ66" s="8"/>
      <c r="AR66" s="43"/>
      <c r="AS66" s="8"/>
      <c r="AT66" s="8"/>
      <c r="AU66" s="8"/>
      <c r="AV66" s="8"/>
      <c r="AW66" s="8"/>
      <c r="AX66" s="8"/>
      <c r="AY66" s="8"/>
      <c r="AZ66" s="8"/>
      <c r="BA66" s="8"/>
    </row>
    <row r="67" spans="1:53" s="22" customFormat="1" ht="15" x14ac:dyDescent="0.25">
      <c r="A67" s="52"/>
      <c r="B67" s="53"/>
      <c r="C67" s="222" t="s">
        <v>57</v>
      </c>
      <c r="D67" s="222"/>
      <c r="E67" s="222"/>
      <c r="F67" s="222"/>
      <c r="G67" s="222"/>
      <c r="H67" s="46"/>
      <c r="I67" s="47"/>
      <c r="J67" s="47"/>
      <c r="K67" s="47"/>
      <c r="L67" s="50"/>
      <c r="M67" s="47"/>
      <c r="N67" s="54"/>
      <c r="O67" s="47"/>
      <c r="P67" s="55">
        <f>19131/100*$O$34</f>
        <v>19131</v>
      </c>
      <c r="Q67" s="56"/>
      <c r="R67" s="56"/>
      <c r="S67" s="4"/>
      <c r="T67" s="4"/>
      <c r="U67" s="4"/>
      <c r="V67" s="4"/>
      <c r="W67" s="4"/>
      <c r="X67" s="4"/>
      <c r="Y67" s="4"/>
      <c r="Z67" s="4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43"/>
      <c r="AN67" s="43"/>
      <c r="AO67" s="43"/>
      <c r="AP67" s="43" t="s">
        <v>57</v>
      </c>
      <c r="AQ67" s="8"/>
      <c r="AR67" s="43"/>
      <c r="AS67" s="8"/>
      <c r="AT67" s="8"/>
      <c r="AU67" s="8"/>
      <c r="AV67" s="8"/>
      <c r="AW67" s="8"/>
      <c r="AX67" s="8"/>
      <c r="AY67" s="8"/>
      <c r="AZ67" s="8"/>
      <c r="BA67" s="8"/>
    </row>
    <row r="68" spans="1:53" s="22" customFormat="1" ht="15" x14ac:dyDescent="0.25">
      <c r="A68" s="57"/>
      <c r="B68" s="58"/>
      <c r="C68" s="223" t="s">
        <v>58</v>
      </c>
      <c r="D68" s="223"/>
      <c r="E68" s="223"/>
      <c r="F68" s="223"/>
      <c r="G68" s="223"/>
      <c r="H68" s="59"/>
      <c r="I68" s="60"/>
      <c r="J68" s="60"/>
      <c r="K68" s="60"/>
      <c r="L68" s="61"/>
      <c r="M68" s="60"/>
      <c r="N68" s="61"/>
      <c r="O68" s="60"/>
      <c r="P68" s="62">
        <f>1987/100*$O$34</f>
        <v>1987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43"/>
      <c r="AN68" s="43"/>
      <c r="AO68" s="43"/>
      <c r="AP68" s="43"/>
      <c r="AQ68" s="8" t="s">
        <v>58</v>
      </c>
      <c r="AR68" s="43"/>
      <c r="AS68" s="8"/>
      <c r="AT68" s="8"/>
      <c r="AU68" s="8"/>
      <c r="AV68" s="8"/>
      <c r="AW68" s="8"/>
      <c r="AX68" s="8"/>
      <c r="AY68" s="8"/>
      <c r="AZ68" s="8"/>
      <c r="BA68" s="8"/>
    </row>
    <row r="69" spans="1:53" s="22" customFormat="1" ht="23.25" x14ac:dyDescent="0.25">
      <c r="A69" s="57"/>
      <c r="B69" s="58" t="s">
        <v>73</v>
      </c>
      <c r="C69" s="223" t="s">
        <v>74</v>
      </c>
      <c r="D69" s="223"/>
      <c r="E69" s="223"/>
      <c r="F69" s="223"/>
      <c r="G69" s="223"/>
      <c r="H69" s="59" t="s">
        <v>61</v>
      </c>
      <c r="I69" s="63">
        <v>92</v>
      </c>
      <c r="J69" s="60"/>
      <c r="K69" s="63">
        <v>92</v>
      </c>
      <c r="L69" s="61"/>
      <c r="M69" s="60"/>
      <c r="N69" s="61"/>
      <c r="O69" s="60"/>
      <c r="P69" s="95">
        <f>P68*K69%</f>
        <v>1828.0400000000002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43"/>
      <c r="AN69" s="43"/>
      <c r="AO69" s="43"/>
      <c r="AP69" s="43"/>
      <c r="AQ69" s="8" t="s">
        <v>74</v>
      </c>
      <c r="AR69" s="43"/>
      <c r="AS69" s="8"/>
      <c r="AT69" s="8"/>
      <c r="AU69" s="8"/>
      <c r="AV69" s="8"/>
      <c r="AW69" s="8"/>
      <c r="AX69" s="8"/>
      <c r="AY69" s="8"/>
      <c r="AZ69" s="8"/>
      <c r="BA69" s="8"/>
    </row>
    <row r="70" spans="1:53" s="22" customFormat="1" ht="23.25" x14ac:dyDescent="0.25">
      <c r="A70" s="57"/>
      <c r="B70" s="58" t="s">
        <v>75</v>
      </c>
      <c r="C70" s="223" t="s">
        <v>76</v>
      </c>
      <c r="D70" s="223"/>
      <c r="E70" s="223"/>
      <c r="F70" s="223"/>
      <c r="G70" s="223"/>
      <c r="H70" s="59" t="s">
        <v>61</v>
      </c>
      <c r="I70" s="63">
        <v>46</v>
      </c>
      <c r="J70" s="60"/>
      <c r="K70" s="63">
        <v>46</v>
      </c>
      <c r="L70" s="61"/>
      <c r="M70" s="60"/>
      <c r="N70" s="61"/>
      <c r="O70" s="60"/>
      <c r="P70" s="95">
        <f>P68*K70%</f>
        <v>914.0200000000001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43"/>
      <c r="AN70" s="43"/>
      <c r="AO70" s="43"/>
      <c r="AP70" s="43"/>
      <c r="AQ70" s="8" t="s">
        <v>76</v>
      </c>
      <c r="AR70" s="43"/>
      <c r="AS70" s="8"/>
      <c r="AT70" s="8"/>
      <c r="AU70" s="8"/>
      <c r="AV70" s="8"/>
      <c r="AW70" s="8"/>
      <c r="AX70" s="8"/>
      <c r="AY70" s="8"/>
      <c r="AZ70" s="8"/>
      <c r="BA70" s="8"/>
    </row>
    <row r="71" spans="1:53" s="22" customFormat="1" ht="15" x14ac:dyDescent="0.25">
      <c r="A71" s="64"/>
      <c r="B71" s="65"/>
      <c r="C71" s="222" t="s">
        <v>64</v>
      </c>
      <c r="D71" s="222"/>
      <c r="E71" s="222"/>
      <c r="F71" s="222"/>
      <c r="G71" s="222"/>
      <c r="H71" s="46"/>
      <c r="I71" s="47"/>
      <c r="J71" s="47"/>
      <c r="K71" s="47"/>
      <c r="L71" s="50"/>
      <c r="M71" s="47"/>
      <c r="N71" s="54">
        <v>21235.919999999998</v>
      </c>
      <c r="O71" s="47"/>
      <c r="P71" s="96">
        <f>P67+P69+P70</f>
        <v>21873.06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43"/>
      <c r="AN71" s="43"/>
      <c r="AO71" s="43"/>
      <c r="AP71" s="43"/>
      <c r="AQ71" s="8"/>
      <c r="AR71" s="43" t="s">
        <v>64</v>
      </c>
      <c r="AS71" s="8"/>
      <c r="AT71" s="8"/>
      <c r="AU71" s="8"/>
      <c r="AV71" s="8"/>
      <c r="AW71" s="8"/>
      <c r="AX71" s="8"/>
      <c r="AY71" s="8"/>
      <c r="AZ71" s="8"/>
      <c r="BA71" s="8"/>
    </row>
    <row r="72" spans="1:53" s="22" customFormat="1" ht="23.25" x14ac:dyDescent="0.25">
      <c r="A72" s="44" t="s">
        <v>89</v>
      </c>
      <c r="B72" s="45" t="s">
        <v>78</v>
      </c>
      <c r="C72" s="224" t="s">
        <v>166</v>
      </c>
      <c r="D72" s="224"/>
      <c r="E72" s="224"/>
      <c r="F72" s="224"/>
      <c r="G72" s="224"/>
      <c r="H72" s="46" t="s">
        <v>56</v>
      </c>
      <c r="I72" s="47">
        <f>2.8/100*$O$34</f>
        <v>2.8</v>
      </c>
      <c r="J72" s="48">
        <v>1</v>
      </c>
      <c r="K72" s="67">
        <v>2.8</v>
      </c>
      <c r="L72" s="50"/>
      <c r="M72" s="47"/>
      <c r="N72" s="50"/>
      <c r="O72" s="47"/>
      <c r="P72" s="51"/>
      <c r="Q72" s="4"/>
      <c r="R72" s="4"/>
      <c r="S72" s="4"/>
      <c r="T72" s="4"/>
      <c r="U72" s="4"/>
      <c r="V72" s="4"/>
      <c r="W72" s="4"/>
      <c r="X72" s="4"/>
      <c r="Y72" s="4"/>
      <c r="Z72" s="4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43"/>
      <c r="AN72" s="43"/>
      <c r="AO72" s="43" t="s">
        <v>166</v>
      </c>
      <c r="AP72" s="43"/>
      <c r="AQ72" s="8"/>
      <c r="AR72" s="43"/>
      <c r="AS72" s="8"/>
      <c r="AT72" s="8"/>
      <c r="AU72" s="8"/>
      <c r="AV72" s="8"/>
      <c r="AW72" s="8"/>
      <c r="AX72" s="8"/>
      <c r="AY72" s="8"/>
      <c r="AZ72" s="8"/>
      <c r="BA72" s="8"/>
    </row>
    <row r="73" spans="1:53" s="22" customFormat="1" ht="15" x14ac:dyDescent="0.25">
      <c r="A73" s="52"/>
      <c r="B73" s="53"/>
      <c r="C73" s="222" t="s">
        <v>57</v>
      </c>
      <c r="D73" s="222"/>
      <c r="E73" s="222"/>
      <c r="F73" s="222"/>
      <c r="G73" s="222"/>
      <c r="H73" s="46"/>
      <c r="I73" s="47"/>
      <c r="J73" s="47"/>
      <c r="K73" s="47"/>
      <c r="L73" s="50"/>
      <c r="M73" s="47"/>
      <c r="N73" s="54"/>
      <c r="O73" s="47"/>
      <c r="P73" s="55">
        <f>16465/100*$O$34</f>
        <v>16465</v>
      </c>
      <c r="Q73" s="56"/>
      <c r="R73" s="56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43"/>
      <c r="AN73" s="43"/>
      <c r="AO73" s="43"/>
      <c r="AP73" s="43" t="s">
        <v>57</v>
      </c>
      <c r="AQ73" s="8"/>
      <c r="AR73" s="43"/>
      <c r="AS73" s="8"/>
      <c r="AT73" s="8"/>
      <c r="AU73" s="8"/>
      <c r="AV73" s="8"/>
      <c r="AW73" s="8"/>
      <c r="AX73" s="8"/>
      <c r="AY73" s="8"/>
      <c r="AZ73" s="8"/>
      <c r="BA73" s="8"/>
    </row>
    <row r="74" spans="1:53" s="22" customFormat="1" ht="15" x14ac:dyDescent="0.25">
      <c r="A74" s="57"/>
      <c r="B74" s="58"/>
      <c r="C74" s="223" t="s">
        <v>58</v>
      </c>
      <c r="D74" s="223"/>
      <c r="E74" s="223"/>
      <c r="F74" s="223"/>
      <c r="G74" s="223"/>
      <c r="H74" s="59"/>
      <c r="I74" s="60"/>
      <c r="J74" s="60"/>
      <c r="K74" s="60"/>
      <c r="L74" s="61"/>
      <c r="M74" s="60"/>
      <c r="N74" s="61"/>
      <c r="O74" s="60"/>
      <c r="P74" s="62">
        <f>13862/100*$O$34</f>
        <v>13862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43"/>
      <c r="AN74" s="43"/>
      <c r="AO74" s="43"/>
      <c r="AP74" s="43"/>
      <c r="AQ74" s="8" t="s">
        <v>58</v>
      </c>
      <c r="AR74" s="43"/>
      <c r="AS74" s="8"/>
      <c r="AT74" s="8"/>
      <c r="AU74" s="8"/>
      <c r="AV74" s="8"/>
      <c r="AW74" s="8"/>
      <c r="AX74" s="8"/>
      <c r="AY74" s="8"/>
      <c r="AZ74" s="8"/>
      <c r="BA74" s="8"/>
    </row>
    <row r="75" spans="1:53" s="22" customFormat="1" ht="23.25" x14ac:dyDescent="0.25">
      <c r="A75" s="57"/>
      <c r="B75" s="58" t="s">
        <v>73</v>
      </c>
      <c r="C75" s="223" t="s">
        <v>74</v>
      </c>
      <c r="D75" s="223"/>
      <c r="E75" s="223"/>
      <c r="F75" s="223"/>
      <c r="G75" s="223"/>
      <c r="H75" s="59" t="s">
        <v>61</v>
      </c>
      <c r="I75" s="63">
        <v>92</v>
      </c>
      <c r="J75" s="60"/>
      <c r="K75" s="63">
        <v>92</v>
      </c>
      <c r="L75" s="61"/>
      <c r="M75" s="60"/>
      <c r="N75" s="61"/>
      <c r="O75" s="60"/>
      <c r="P75" s="95">
        <f>P74*K75%</f>
        <v>12753.04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43"/>
      <c r="AN75" s="43"/>
      <c r="AO75" s="43"/>
      <c r="AP75" s="43"/>
      <c r="AQ75" s="8" t="s">
        <v>74</v>
      </c>
      <c r="AR75" s="43"/>
      <c r="AS75" s="8"/>
      <c r="AT75" s="8"/>
      <c r="AU75" s="8"/>
      <c r="AV75" s="8"/>
      <c r="AW75" s="8"/>
      <c r="AX75" s="8"/>
      <c r="AY75" s="8"/>
      <c r="AZ75" s="8"/>
      <c r="BA75" s="8"/>
    </row>
    <row r="76" spans="1:53" s="22" customFormat="1" ht="23.25" x14ac:dyDescent="0.25">
      <c r="A76" s="57"/>
      <c r="B76" s="58" t="s">
        <v>75</v>
      </c>
      <c r="C76" s="223" t="s">
        <v>76</v>
      </c>
      <c r="D76" s="223"/>
      <c r="E76" s="223"/>
      <c r="F76" s="223"/>
      <c r="G76" s="223"/>
      <c r="H76" s="59" t="s">
        <v>61</v>
      </c>
      <c r="I76" s="63">
        <v>46</v>
      </c>
      <c r="J76" s="60"/>
      <c r="K76" s="63">
        <v>46</v>
      </c>
      <c r="L76" s="61"/>
      <c r="M76" s="60"/>
      <c r="N76" s="61"/>
      <c r="O76" s="60"/>
      <c r="P76" s="95">
        <f>P74*K76%</f>
        <v>6376.52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43"/>
      <c r="AN76" s="43"/>
      <c r="AO76" s="43"/>
      <c r="AP76" s="43"/>
      <c r="AQ76" s="8" t="s">
        <v>76</v>
      </c>
      <c r="AR76" s="43"/>
      <c r="AS76" s="8"/>
      <c r="AT76" s="8"/>
      <c r="AU76" s="8"/>
      <c r="AV76" s="8"/>
      <c r="AW76" s="8"/>
      <c r="AX76" s="8"/>
      <c r="AY76" s="8"/>
      <c r="AZ76" s="8"/>
      <c r="BA76" s="8"/>
    </row>
    <row r="77" spans="1:53" s="22" customFormat="1" ht="15" x14ac:dyDescent="0.25">
      <c r="A77" s="64"/>
      <c r="B77" s="65"/>
      <c r="C77" s="222" t="s">
        <v>64</v>
      </c>
      <c r="D77" s="222"/>
      <c r="E77" s="222"/>
      <c r="F77" s="222"/>
      <c r="G77" s="222"/>
      <c r="H77" s="46"/>
      <c r="I77" s="47"/>
      <c r="J77" s="47"/>
      <c r="K77" s="47"/>
      <c r="L77" s="50"/>
      <c r="M77" s="47"/>
      <c r="N77" s="54">
        <v>12712.5</v>
      </c>
      <c r="O77" s="47"/>
      <c r="P77" s="96">
        <f>P73+P75+P76</f>
        <v>35594.559999999998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43"/>
      <c r="AN77" s="43"/>
      <c r="AO77" s="43"/>
      <c r="AP77" s="43"/>
      <c r="AQ77" s="8"/>
      <c r="AR77" s="43" t="s">
        <v>64</v>
      </c>
      <c r="AS77" s="8"/>
      <c r="AT77" s="8"/>
      <c r="AU77" s="8"/>
      <c r="AV77" s="8"/>
      <c r="AW77" s="8"/>
      <c r="AX77" s="8"/>
      <c r="AY77" s="8"/>
      <c r="AZ77" s="8"/>
      <c r="BA77" s="8"/>
    </row>
    <row r="78" spans="1:53" s="22" customFormat="1" ht="15" x14ac:dyDescent="0.25">
      <c r="A78" s="225" t="s">
        <v>80</v>
      </c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7"/>
      <c r="Q78" s="4"/>
      <c r="R78" s="4"/>
      <c r="S78" s="4"/>
      <c r="T78" s="4"/>
      <c r="U78" s="4"/>
      <c r="V78" s="4"/>
      <c r="W78" s="4"/>
      <c r="X78" s="4"/>
      <c r="Y78" s="4"/>
      <c r="Z78" s="4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43"/>
      <c r="AN78" s="43" t="s">
        <v>80</v>
      </c>
      <c r="AO78" s="43"/>
      <c r="AP78" s="43"/>
      <c r="AQ78" s="8"/>
      <c r="AR78" s="43"/>
      <c r="AS78" s="8"/>
      <c r="AT78" s="8"/>
      <c r="AU78" s="8"/>
      <c r="AV78" s="8"/>
      <c r="AW78" s="8"/>
      <c r="AX78" s="8"/>
      <c r="AY78" s="8"/>
      <c r="AZ78" s="8"/>
      <c r="BA78" s="8"/>
    </row>
    <row r="79" spans="1:53" s="22" customFormat="1" ht="34.5" x14ac:dyDescent="0.25">
      <c r="A79" s="44" t="s">
        <v>93</v>
      </c>
      <c r="B79" s="45" t="s">
        <v>82</v>
      </c>
      <c r="C79" s="224" t="s">
        <v>83</v>
      </c>
      <c r="D79" s="224"/>
      <c r="E79" s="224"/>
      <c r="F79" s="224"/>
      <c r="G79" s="224"/>
      <c r="H79" s="46" t="s">
        <v>84</v>
      </c>
      <c r="I79" s="47">
        <f>3.3/100*$O$34</f>
        <v>3.3000000000000003</v>
      </c>
      <c r="J79" s="48">
        <v>1</v>
      </c>
      <c r="K79" s="67">
        <v>3.3</v>
      </c>
      <c r="L79" s="50"/>
      <c r="M79" s="47"/>
      <c r="N79" s="50"/>
      <c r="O79" s="47"/>
      <c r="P79" s="51"/>
      <c r="Q79" s="4"/>
      <c r="R79" s="4"/>
      <c r="S79" s="4"/>
      <c r="T79" s="4"/>
      <c r="U79" s="4"/>
      <c r="V79" s="4"/>
      <c r="W79" s="4"/>
      <c r="X79" s="4"/>
      <c r="Y79" s="4"/>
      <c r="Z79" s="4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43"/>
      <c r="AN79" s="43"/>
      <c r="AO79" s="43" t="s">
        <v>83</v>
      </c>
      <c r="AP79" s="43"/>
      <c r="AQ79" s="8"/>
      <c r="AR79" s="43"/>
      <c r="AS79" s="8"/>
      <c r="AT79" s="8"/>
      <c r="AU79" s="8"/>
      <c r="AV79" s="8"/>
      <c r="AW79" s="8"/>
      <c r="AX79" s="8"/>
      <c r="AY79" s="8"/>
      <c r="AZ79" s="8"/>
      <c r="BA79" s="8"/>
    </row>
    <row r="80" spans="1:53" s="22" customFormat="1" ht="15" x14ac:dyDescent="0.25">
      <c r="A80" s="52"/>
      <c r="B80" s="53"/>
      <c r="C80" s="222" t="s">
        <v>57</v>
      </c>
      <c r="D80" s="222"/>
      <c r="E80" s="222"/>
      <c r="F80" s="222"/>
      <c r="G80" s="222"/>
      <c r="H80" s="46"/>
      <c r="I80" s="47"/>
      <c r="J80" s="47"/>
      <c r="K80" s="47"/>
      <c r="L80" s="50"/>
      <c r="M80" s="47"/>
      <c r="N80" s="54"/>
      <c r="O80" s="47"/>
      <c r="P80" s="55">
        <f>40473/100*$O$34</f>
        <v>40473</v>
      </c>
      <c r="Q80" s="56"/>
      <c r="R80" s="56"/>
      <c r="S80" s="4"/>
      <c r="T80" s="4"/>
      <c r="U80" s="4"/>
      <c r="V80" s="4"/>
      <c r="W80" s="4"/>
      <c r="X80" s="4"/>
      <c r="Y80" s="4"/>
      <c r="Z80" s="4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43"/>
      <c r="AN80" s="43"/>
      <c r="AO80" s="43"/>
      <c r="AP80" s="43" t="s">
        <v>57</v>
      </c>
      <c r="AQ80" s="8"/>
      <c r="AR80" s="43"/>
      <c r="AS80" s="8"/>
      <c r="AT80" s="8"/>
      <c r="AU80" s="8"/>
      <c r="AV80" s="8"/>
      <c r="AW80" s="8"/>
      <c r="AX80" s="8"/>
      <c r="AY80" s="8"/>
      <c r="AZ80" s="8"/>
      <c r="BA80" s="8"/>
    </row>
    <row r="81" spans="1:53" s="22" customFormat="1" ht="15" x14ac:dyDescent="0.25">
      <c r="A81" s="57"/>
      <c r="B81" s="58"/>
      <c r="C81" s="223" t="s">
        <v>58</v>
      </c>
      <c r="D81" s="223"/>
      <c r="E81" s="223"/>
      <c r="F81" s="223"/>
      <c r="G81" s="223"/>
      <c r="H81" s="59"/>
      <c r="I81" s="60"/>
      <c r="J81" s="60"/>
      <c r="K81" s="60"/>
      <c r="L81" s="61"/>
      <c r="M81" s="60"/>
      <c r="N81" s="61"/>
      <c r="O81" s="60"/>
      <c r="P81" s="62">
        <f>40377/100*$O$34</f>
        <v>40377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43"/>
      <c r="AN81" s="43"/>
      <c r="AO81" s="43"/>
      <c r="AP81" s="43"/>
      <c r="AQ81" s="8" t="s">
        <v>58</v>
      </c>
      <c r="AR81" s="43"/>
      <c r="AS81" s="8"/>
      <c r="AT81" s="8"/>
      <c r="AU81" s="8"/>
      <c r="AV81" s="8"/>
      <c r="AW81" s="8"/>
      <c r="AX81" s="8"/>
      <c r="AY81" s="8"/>
      <c r="AZ81" s="8"/>
      <c r="BA81" s="8"/>
    </row>
    <row r="82" spans="1:53" s="22" customFormat="1" ht="23.25" x14ac:dyDescent="0.25">
      <c r="A82" s="57"/>
      <c r="B82" s="58" t="s">
        <v>85</v>
      </c>
      <c r="C82" s="223" t="s">
        <v>86</v>
      </c>
      <c r="D82" s="223"/>
      <c r="E82" s="223"/>
      <c r="F82" s="223"/>
      <c r="G82" s="223"/>
      <c r="H82" s="59" t="s">
        <v>61</v>
      </c>
      <c r="I82" s="63">
        <v>89</v>
      </c>
      <c r="J82" s="60"/>
      <c r="K82" s="63">
        <v>89</v>
      </c>
      <c r="L82" s="61"/>
      <c r="M82" s="60"/>
      <c r="N82" s="61"/>
      <c r="O82" s="60"/>
      <c r="P82" s="95">
        <f>P81*K82%</f>
        <v>35935.53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43"/>
      <c r="AN82" s="43"/>
      <c r="AO82" s="43"/>
      <c r="AP82" s="43"/>
      <c r="AQ82" s="8" t="s">
        <v>86</v>
      </c>
      <c r="AR82" s="43"/>
      <c r="AS82" s="8"/>
      <c r="AT82" s="8"/>
      <c r="AU82" s="8"/>
      <c r="AV82" s="8"/>
      <c r="AW82" s="8"/>
      <c r="AX82" s="8"/>
      <c r="AY82" s="8"/>
      <c r="AZ82" s="8"/>
      <c r="BA82" s="8"/>
    </row>
    <row r="83" spans="1:53" s="22" customFormat="1" ht="23.25" x14ac:dyDescent="0.25">
      <c r="A83" s="57"/>
      <c r="B83" s="58" t="s">
        <v>87</v>
      </c>
      <c r="C83" s="223" t="s">
        <v>88</v>
      </c>
      <c r="D83" s="223"/>
      <c r="E83" s="223"/>
      <c r="F83" s="223"/>
      <c r="G83" s="223"/>
      <c r="H83" s="59" t="s">
        <v>61</v>
      </c>
      <c r="I83" s="63">
        <v>41</v>
      </c>
      <c r="J83" s="60"/>
      <c r="K83" s="63">
        <v>41</v>
      </c>
      <c r="L83" s="61"/>
      <c r="M83" s="60"/>
      <c r="N83" s="61"/>
      <c r="O83" s="60"/>
      <c r="P83" s="95">
        <f>P81*K83%</f>
        <v>16554.57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43"/>
      <c r="AN83" s="43"/>
      <c r="AO83" s="43"/>
      <c r="AP83" s="43"/>
      <c r="AQ83" s="8" t="s">
        <v>88</v>
      </c>
      <c r="AR83" s="43"/>
      <c r="AS83" s="8"/>
      <c r="AT83" s="8"/>
      <c r="AU83" s="8"/>
      <c r="AV83" s="8"/>
      <c r="AW83" s="8"/>
      <c r="AX83" s="8"/>
      <c r="AY83" s="8"/>
      <c r="AZ83" s="8"/>
      <c r="BA83" s="8"/>
    </row>
    <row r="84" spans="1:53" s="22" customFormat="1" ht="15" x14ac:dyDescent="0.25">
      <c r="A84" s="64"/>
      <c r="B84" s="65"/>
      <c r="C84" s="222" t="s">
        <v>64</v>
      </c>
      <c r="D84" s="222"/>
      <c r="E84" s="222"/>
      <c r="F84" s="222"/>
      <c r="G84" s="222"/>
      <c r="H84" s="46"/>
      <c r="I84" s="47"/>
      <c r="J84" s="47"/>
      <c r="K84" s="47"/>
      <c r="L84" s="50"/>
      <c r="M84" s="47"/>
      <c r="N84" s="54">
        <v>28170.91</v>
      </c>
      <c r="O84" s="47"/>
      <c r="P84" s="96">
        <f>P80+P82+P83</f>
        <v>92963.1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43"/>
      <c r="AN84" s="43"/>
      <c r="AO84" s="43"/>
      <c r="AP84" s="43"/>
      <c r="AQ84" s="8"/>
      <c r="AR84" s="43" t="s">
        <v>64</v>
      </c>
      <c r="AS84" s="8"/>
      <c r="AT84" s="8"/>
      <c r="AU84" s="8"/>
      <c r="AV84" s="8"/>
      <c r="AW84" s="8"/>
      <c r="AX84" s="8"/>
      <c r="AY84" s="8"/>
      <c r="AZ84" s="8"/>
      <c r="BA84" s="8"/>
    </row>
    <row r="85" spans="1:53" s="22" customFormat="1" ht="15" x14ac:dyDescent="0.25">
      <c r="A85" s="44" t="s">
        <v>97</v>
      </c>
      <c r="B85" s="45" t="s">
        <v>90</v>
      </c>
      <c r="C85" s="224" t="s">
        <v>91</v>
      </c>
      <c r="D85" s="224"/>
      <c r="E85" s="224"/>
      <c r="F85" s="224"/>
      <c r="G85" s="224"/>
      <c r="H85" s="46" t="s">
        <v>92</v>
      </c>
      <c r="I85" s="47">
        <f>3.96/100*$O$34</f>
        <v>3.9599999999999995</v>
      </c>
      <c r="J85" s="48">
        <v>1</v>
      </c>
      <c r="K85" s="49">
        <v>3.96</v>
      </c>
      <c r="L85" s="68">
        <v>149.15</v>
      </c>
      <c r="M85" s="49">
        <v>0.96</v>
      </c>
      <c r="N85" s="68">
        <v>143.18</v>
      </c>
      <c r="O85" s="47"/>
      <c r="P85" s="96">
        <f>N85*I85</f>
        <v>566.99279999999999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43"/>
      <c r="AN85" s="43"/>
      <c r="AO85" s="43" t="s">
        <v>91</v>
      </c>
      <c r="AP85" s="43"/>
      <c r="AQ85" s="8"/>
      <c r="AR85" s="43"/>
      <c r="AS85" s="8"/>
      <c r="AT85" s="8"/>
      <c r="AU85" s="8"/>
      <c r="AV85" s="8"/>
      <c r="AW85" s="8"/>
      <c r="AX85" s="8"/>
      <c r="AY85" s="8"/>
      <c r="AZ85" s="8"/>
      <c r="BA85" s="8"/>
    </row>
    <row r="86" spans="1:53" s="22" customFormat="1" ht="15" x14ac:dyDescent="0.25">
      <c r="A86" s="64"/>
      <c r="B86" s="65"/>
      <c r="C86" s="222" t="s">
        <v>64</v>
      </c>
      <c r="D86" s="222"/>
      <c r="E86" s="222"/>
      <c r="F86" s="222"/>
      <c r="G86" s="222"/>
      <c r="H86" s="46"/>
      <c r="I86" s="47"/>
      <c r="J86" s="47"/>
      <c r="K86" s="47"/>
      <c r="L86" s="50"/>
      <c r="M86" s="47"/>
      <c r="N86" s="50"/>
      <c r="O86" s="47"/>
      <c r="P86" s="96">
        <f>P85</f>
        <v>566.99279999999999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43"/>
      <c r="AN86" s="43"/>
      <c r="AO86" s="43"/>
      <c r="AP86" s="43"/>
      <c r="AQ86" s="8"/>
      <c r="AR86" s="43" t="s">
        <v>64</v>
      </c>
      <c r="AS86" s="8"/>
      <c r="AT86" s="8"/>
      <c r="AU86" s="8"/>
      <c r="AV86" s="8"/>
      <c r="AW86" s="8"/>
      <c r="AX86" s="8"/>
      <c r="AY86" s="8"/>
      <c r="AZ86" s="8"/>
      <c r="BA86" s="8"/>
    </row>
    <row r="87" spans="1:53" s="22" customFormat="1" ht="15" x14ac:dyDescent="0.25">
      <c r="A87" s="44" t="s">
        <v>104</v>
      </c>
      <c r="B87" s="45" t="s">
        <v>94</v>
      </c>
      <c r="C87" s="224" t="s">
        <v>95</v>
      </c>
      <c r="D87" s="224"/>
      <c r="E87" s="224"/>
      <c r="F87" s="224"/>
      <c r="G87" s="224"/>
      <c r="H87" s="46" t="s">
        <v>96</v>
      </c>
      <c r="I87" s="47">
        <f>52/100*$O$34</f>
        <v>52</v>
      </c>
      <c r="J87" s="48">
        <v>1</v>
      </c>
      <c r="K87" s="48">
        <v>52</v>
      </c>
      <c r="L87" s="54">
        <v>1062.45</v>
      </c>
      <c r="M87" s="49">
        <v>1.03</v>
      </c>
      <c r="N87" s="54">
        <v>1094.32</v>
      </c>
      <c r="O87" s="47"/>
      <c r="P87" s="96">
        <f>N87*I87</f>
        <v>56904.639999999999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43"/>
      <c r="AN87" s="43"/>
      <c r="AO87" s="43" t="s">
        <v>95</v>
      </c>
      <c r="AP87" s="43"/>
      <c r="AQ87" s="8"/>
      <c r="AR87" s="43"/>
      <c r="AS87" s="8"/>
      <c r="AT87" s="8"/>
      <c r="AU87" s="8"/>
      <c r="AV87" s="8"/>
      <c r="AW87" s="8"/>
      <c r="AX87" s="8"/>
      <c r="AY87" s="8"/>
      <c r="AZ87" s="8"/>
      <c r="BA87" s="8"/>
    </row>
    <row r="88" spans="1:53" s="22" customFormat="1" ht="15" x14ac:dyDescent="0.25">
      <c r="A88" s="64"/>
      <c r="B88" s="65"/>
      <c r="C88" s="222" t="s">
        <v>64</v>
      </c>
      <c r="D88" s="222"/>
      <c r="E88" s="222"/>
      <c r="F88" s="222"/>
      <c r="G88" s="222"/>
      <c r="H88" s="46"/>
      <c r="I88" s="47"/>
      <c r="J88" s="47"/>
      <c r="K88" s="47"/>
      <c r="L88" s="50"/>
      <c r="M88" s="47"/>
      <c r="N88" s="50"/>
      <c r="O88" s="47"/>
      <c r="P88" s="96">
        <f>P87</f>
        <v>56904.639999999999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43"/>
      <c r="AN88" s="43"/>
      <c r="AO88" s="43"/>
      <c r="AP88" s="43"/>
      <c r="AQ88" s="8"/>
      <c r="AR88" s="43" t="s">
        <v>64</v>
      </c>
      <c r="AS88" s="8"/>
      <c r="AT88" s="8"/>
      <c r="AU88" s="8"/>
      <c r="AV88" s="8"/>
      <c r="AW88" s="8"/>
      <c r="AX88" s="8"/>
      <c r="AY88" s="8"/>
      <c r="AZ88" s="8"/>
      <c r="BA88" s="8"/>
    </row>
    <row r="89" spans="1:53" s="22" customFormat="1" ht="23.25" x14ac:dyDescent="0.25">
      <c r="A89" s="44" t="s">
        <v>108</v>
      </c>
      <c r="B89" s="45" t="s">
        <v>181</v>
      </c>
      <c r="C89" s="224" t="s">
        <v>239</v>
      </c>
      <c r="D89" s="224"/>
      <c r="E89" s="224"/>
      <c r="F89" s="224"/>
      <c r="G89" s="224"/>
      <c r="H89" s="46" t="s">
        <v>56</v>
      </c>
      <c r="I89" s="47">
        <f>0.98/100*$O$34</f>
        <v>0.98</v>
      </c>
      <c r="J89" s="48">
        <v>1</v>
      </c>
      <c r="K89" s="49">
        <v>0.98</v>
      </c>
      <c r="L89" s="50"/>
      <c r="M89" s="47"/>
      <c r="N89" s="50"/>
      <c r="O89" s="47"/>
      <c r="P89" s="51"/>
      <c r="Q89" s="4"/>
      <c r="R89" s="4"/>
      <c r="S89" s="4"/>
      <c r="T89" s="4"/>
      <c r="U89" s="4"/>
      <c r="V89" s="4"/>
      <c r="W89" s="4"/>
      <c r="X89" s="4"/>
      <c r="Y89" s="4"/>
      <c r="Z89" s="4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43"/>
      <c r="AN89" s="43"/>
      <c r="AO89" s="43" t="s">
        <v>239</v>
      </c>
      <c r="AP89" s="43"/>
      <c r="AQ89" s="8"/>
      <c r="AR89" s="43"/>
      <c r="AS89" s="8"/>
      <c r="AT89" s="8"/>
      <c r="AU89" s="8"/>
      <c r="AV89" s="8"/>
      <c r="AW89" s="8"/>
      <c r="AX89" s="8"/>
      <c r="AY89" s="8"/>
      <c r="AZ89" s="8"/>
      <c r="BA89" s="8"/>
    </row>
    <row r="90" spans="1:53" s="22" customFormat="1" ht="15" x14ac:dyDescent="0.25">
      <c r="A90" s="52"/>
      <c r="B90" s="53"/>
      <c r="C90" s="222" t="s">
        <v>57</v>
      </c>
      <c r="D90" s="222"/>
      <c r="E90" s="222"/>
      <c r="F90" s="222"/>
      <c r="G90" s="222"/>
      <c r="H90" s="46"/>
      <c r="I90" s="47"/>
      <c r="J90" s="47"/>
      <c r="K90" s="47"/>
      <c r="L90" s="50"/>
      <c r="M90" s="47"/>
      <c r="N90" s="54"/>
      <c r="O90" s="47"/>
      <c r="P90" s="55">
        <f>50753/100*$O$34</f>
        <v>50753</v>
      </c>
      <c r="Q90" s="56"/>
      <c r="R90" s="56"/>
      <c r="S90" s="4"/>
      <c r="T90" s="4"/>
      <c r="U90" s="4"/>
      <c r="V90" s="4"/>
      <c r="W90" s="4"/>
      <c r="X90" s="4"/>
      <c r="Y90" s="4"/>
      <c r="Z90" s="4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43"/>
      <c r="AN90" s="43"/>
      <c r="AO90" s="43"/>
      <c r="AP90" s="43" t="s">
        <v>57</v>
      </c>
      <c r="AQ90" s="8"/>
      <c r="AR90" s="43"/>
      <c r="AS90" s="8"/>
      <c r="AT90" s="8"/>
      <c r="AU90" s="8"/>
      <c r="AV90" s="8"/>
      <c r="AW90" s="8"/>
      <c r="AX90" s="8"/>
      <c r="AY90" s="8"/>
      <c r="AZ90" s="8"/>
      <c r="BA90" s="8"/>
    </row>
    <row r="91" spans="1:53" s="22" customFormat="1" ht="15" x14ac:dyDescent="0.25">
      <c r="A91" s="57"/>
      <c r="B91" s="58"/>
      <c r="C91" s="223" t="s">
        <v>58</v>
      </c>
      <c r="D91" s="223"/>
      <c r="E91" s="223"/>
      <c r="F91" s="223"/>
      <c r="G91" s="223"/>
      <c r="H91" s="59"/>
      <c r="I91" s="60"/>
      <c r="J91" s="60"/>
      <c r="K91" s="60"/>
      <c r="L91" s="61"/>
      <c r="M91" s="60"/>
      <c r="N91" s="61"/>
      <c r="O91" s="60"/>
      <c r="P91" s="62">
        <f>39269/100*$O$34</f>
        <v>39269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43"/>
      <c r="AN91" s="43"/>
      <c r="AO91" s="43"/>
      <c r="AP91" s="43"/>
      <c r="AQ91" s="8" t="s">
        <v>58</v>
      </c>
      <c r="AR91" s="43"/>
      <c r="AS91" s="8"/>
      <c r="AT91" s="8"/>
      <c r="AU91" s="8"/>
      <c r="AV91" s="8"/>
      <c r="AW91" s="8"/>
      <c r="AX91" s="8"/>
      <c r="AY91" s="8"/>
      <c r="AZ91" s="8"/>
      <c r="BA91" s="8"/>
    </row>
    <row r="92" spans="1:53" s="22" customFormat="1" ht="15" x14ac:dyDescent="0.25">
      <c r="A92" s="57"/>
      <c r="B92" s="58" t="s">
        <v>111</v>
      </c>
      <c r="C92" s="223" t="s">
        <v>112</v>
      </c>
      <c r="D92" s="223"/>
      <c r="E92" s="223"/>
      <c r="F92" s="223"/>
      <c r="G92" s="223"/>
      <c r="H92" s="59" t="s">
        <v>61</v>
      </c>
      <c r="I92" s="63">
        <v>94</v>
      </c>
      <c r="J92" s="60"/>
      <c r="K92" s="63">
        <v>94</v>
      </c>
      <c r="L92" s="61"/>
      <c r="M92" s="60"/>
      <c r="N92" s="61"/>
      <c r="O92" s="60"/>
      <c r="P92" s="95">
        <f>P91*K92%</f>
        <v>36912.86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43"/>
      <c r="AN92" s="43"/>
      <c r="AO92" s="43"/>
      <c r="AP92" s="43"/>
      <c r="AQ92" s="8" t="s">
        <v>112</v>
      </c>
      <c r="AR92" s="43"/>
      <c r="AS92" s="8"/>
      <c r="AT92" s="8"/>
      <c r="AU92" s="8"/>
      <c r="AV92" s="8"/>
      <c r="AW92" s="8"/>
      <c r="AX92" s="8"/>
      <c r="AY92" s="8"/>
      <c r="AZ92" s="8"/>
      <c r="BA92" s="8"/>
    </row>
    <row r="93" spans="1:53" s="22" customFormat="1" ht="15" x14ac:dyDescent="0.25">
      <c r="A93" s="57"/>
      <c r="B93" s="58" t="s">
        <v>113</v>
      </c>
      <c r="C93" s="223" t="s">
        <v>114</v>
      </c>
      <c r="D93" s="223"/>
      <c r="E93" s="223"/>
      <c r="F93" s="223"/>
      <c r="G93" s="223"/>
      <c r="H93" s="59" t="s">
        <v>61</v>
      </c>
      <c r="I93" s="63">
        <v>51</v>
      </c>
      <c r="J93" s="60"/>
      <c r="K93" s="63">
        <v>51</v>
      </c>
      <c r="L93" s="61"/>
      <c r="M93" s="60"/>
      <c r="N93" s="61"/>
      <c r="O93" s="60"/>
      <c r="P93" s="95">
        <f>P91*K93%</f>
        <v>20027.189999999999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43"/>
      <c r="AN93" s="43"/>
      <c r="AO93" s="43"/>
      <c r="AP93" s="43"/>
      <c r="AQ93" s="8" t="s">
        <v>114</v>
      </c>
      <c r="AR93" s="43"/>
      <c r="AS93" s="8"/>
      <c r="AT93" s="8"/>
      <c r="AU93" s="8"/>
      <c r="AV93" s="8"/>
      <c r="AW93" s="8"/>
      <c r="AX93" s="8"/>
      <c r="AY93" s="8"/>
      <c r="AZ93" s="8"/>
      <c r="BA93" s="8"/>
    </row>
    <row r="94" spans="1:53" s="22" customFormat="1" ht="15" x14ac:dyDescent="0.25">
      <c r="A94" s="64"/>
      <c r="B94" s="65"/>
      <c r="C94" s="222" t="s">
        <v>64</v>
      </c>
      <c r="D94" s="222"/>
      <c r="E94" s="222"/>
      <c r="F94" s="222"/>
      <c r="G94" s="222"/>
      <c r="H94" s="46"/>
      <c r="I94" s="47"/>
      <c r="J94" s="47"/>
      <c r="K94" s="47"/>
      <c r="L94" s="50"/>
      <c r="M94" s="47"/>
      <c r="N94" s="54">
        <v>109890.82</v>
      </c>
      <c r="O94" s="47"/>
      <c r="P94" s="96">
        <f>P90+P92+P93</f>
        <v>107693.05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43"/>
      <c r="AN94" s="43"/>
      <c r="AO94" s="43"/>
      <c r="AP94" s="43"/>
      <c r="AQ94" s="8"/>
      <c r="AR94" s="43" t="s">
        <v>64</v>
      </c>
      <c r="AS94" s="8"/>
      <c r="AT94" s="8"/>
      <c r="AU94" s="8"/>
      <c r="AV94" s="8"/>
      <c r="AW94" s="8"/>
      <c r="AX94" s="8"/>
      <c r="AY94" s="8"/>
      <c r="AZ94" s="8"/>
      <c r="BA94" s="8"/>
    </row>
    <row r="95" spans="1:53" s="22" customFormat="1" ht="15" x14ac:dyDescent="0.25">
      <c r="A95" s="44" t="s">
        <v>115</v>
      </c>
      <c r="B95" s="45" t="s">
        <v>184</v>
      </c>
      <c r="C95" s="224" t="s">
        <v>185</v>
      </c>
      <c r="D95" s="224"/>
      <c r="E95" s="224"/>
      <c r="F95" s="224"/>
      <c r="G95" s="224"/>
      <c r="H95" s="46" t="s">
        <v>96</v>
      </c>
      <c r="I95" s="47">
        <f>100.94/100*$O$34</f>
        <v>100.94000000000001</v>
      </c>
      <c r="J95" s="48">
        <v>1</v>
      </c>
      <c r="K95" s="49">
        <v>100.94</v>
      </c>
      <c r="L95" s="54">
        <v>2283.27</v>
      </c>
      <c r="M95" s="49">
        <v>1.06</v>
      </c>
      <c r="N95" s="54">
        <v>2420.27</v>
      </c>
      <c r="O95" s="47"/>
      <c r="P95" s="96">
        <f>N95*I95</f>
        <v>244302.05380000002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43"/>
      <c r="AN95" s="43"/>
      <c r="AO95" s="43" t="s">
        <v>185</v>
      </c>
      <c r="AP95" s="43"/>
      <c r="AQ95" s="8"/>
      <c r="AR95" s="43"/>
      <c r="AS95" s="8"/>
      <c r="AT95" s="8"/>
      <c r="AU95" s="8"/>
      <c r="AV95" s="8"/>
      <c r="AW95" s="8"/>
      <c r="AX95" s="8"/>
      <c r="AY95" s="8"/>
      <c r="AZ95" s="8"/>
      <c r="BA95" s="8"/>
    </row>
    <row r="96" spans="1:53" s="22" customFormat="1" ht="15" x14ac:dyDescent="0.25">
      <c r="A96" s="64"/>
      <c r="B96" s="65"/>
      <c r="C96" s="222" t="s">
        <v>64</v>
      </c>
      <c r="D96" s="222"/>
      <c r="E96" s="222"/>
      <c r="F96" s="222"/>
      <c r="G96" s="222"/>
      <c r="H96" s="46"/>
      <c r="I96" s="47"/>
      <c r="J96" s="47"/>
      <c r="K96" s="47"/>
      <c r="L96" s="50"/>
      <c r="M96" s="47"/>
      <c r="N96" s="50"/>
      <c r="O96" s="47"/>
      <c r="P96" s="96">
        <f>P95</f>
        <v>244302.05380000002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43"/>
      <c r="AN96" s="43"/>
      <c r="AO96" s="43"/>
      <c r="AP96" s="43"/>
      <c r="AQ96" s="8"/>
      <c r="AR96" s="43" t="s">
        <v>64</v>
      </c>
      <c r="AS96" s="8"/>
      <c r="AT96" s="8"/>
      <c r="AU96" s="8"/>
      <c r="AV96" s="8"/>
      <c r="AW96" s="8"/>
      <c r="AX96" s="8"/>
      <c r="AY96" s="8"/>
      <c r="AZ96" s="8"/>
      <c r="BA96" s="8"/>
    </row>
    <row r="97" spans="1:53" s="22" customFormat="1" ht="23.25" x14ac:dyDescent="0.25">
      <c r="A97" s="44" t="s">
        <v>119</v>
      </c>
      <c r="B97" s="45" t="s">
        <v>181</v>
      </c>
      <c r="C97" s="224" t="s">
        <v>240</v>
      </c>
      <c r="D97" s="224"/>
      <c r="E97" s="224"/>
      <c r="F97" s="224"/>
      <c r="G97" s="224"/>
      <c r="H97" s="46" t="s">
        <v>56</v>
      </c>
      <c r="I97" s="47">
        <f>4.4/100*$O$34</f>
        <v>4.4000000000000004</v>
      </c>
      <c r="J97" s="48">
        <v>1</v>
      </c>
      <c r="K97" s="67">
        <v>4.4000000000000004</v>
      </c>
      <c r="L97" s="50"/>
      <c r="M97" s="47"/>
      <c r="N97" s="50"/>
      <c r="O97" s="47"/>
      <c r="P97" s="51"/>
      <c r="Q97" s="4"/>
      <c r="R97" s="4"/>
      <c r="S97" s="4"/>
      <c r="T97" s="4"/>
      <c r="U97" s="4"/>
      <c r="V97" s="4"/>
      <c r="W97" s="4"/>
      <c r="X97" s="4"/>
      <c r="Y97" s="4"/>
      <c r="Z97" s="4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43"/>
      <c r="AN97" s="43"/>
      <c r="AO97" s="43" t="s">
        <v>240</v>
      </c>
      <c r="AP97" s="43"/>
      <c r="AQ97" s="8"/>
      <c r="AR97" s="43"/>
      <c r="AS97" s="8"/>
      <c r="AT97" s="8"/>
      <c r="AU97" s="8"/>
      <c r="AV97" s="8"/>
      <c r="AW97" s="8"/>
      <c r="AX97" s="8"/>
      <c r="AY97" s="8"/>
      <c r="AZ97" s="8"/>
      <c r="BA97" s="8"/>
    </row>
    <row r="98" spans="1:53" s="22" customFormat="1" ht="15" x14ac:dyDescent="0.25">
      <c r="A98" s="52"/>
      <c r="B98" s="53"/>
      <c r="C98" s="222" t="s">
        <v>57</v>
      </c>
      <c r="D98" s="222"/>
      <c r="E98" s="222"/>
      <c r="F98" s="222"/>
      <c r="G98" s="222"/>
      <c r="H98" s="46"/>
      <c r="I98" s="47"/>
      <c r="J98" s="47"/>
      <c r="K98" s="47"/>
      <c r="L98" s="50"/>
      <c r="M98" s="47"/>
      <c r="N98" s="54"/>
      <c r="O98" s="47"/>
      <c r="P98" s="55">
        <f>227871/100*$O$34</f>
        <v>227871</v>
      </c>
      <c r="Q98" s="56"/>
      <c r="R98" s="56"/>
      <c r="S98" s="4"/>
      <c r="T98" s="4"/>
      <c r="U98" s="4"/>
      <c r="V98" s="4"/>
      <c r="W98" s="4"/>
      <c r="X98" s="4"/>
      <c r="Y98" s="4"/>
      <c r="Z98" s="4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43"/>
      <c r="AN98" s="43"/>
      <c r="AO98" s="43"/>
      <c r="AP98" s="43" t="s">
        <v>57</v>
      </c>
      <c r="AQ98" s="8"/>
      <c r="AR98" s="43"/>
      <c r="AS98" s="8"/>
      <c r="AT98" s="8"/>
      <c r="AU98" s="8"/>
      <c r="AV98" s="8"/>
      <c r="AW98" s="8"/>
      <c r="AX98" s="8"/>
      <c r="AY98" s="8"/>
      <c r="AZ98" s="8"/>
      <c r="BA98" s="8"/>
    </row>
    <row r="99" spans="1:53" s="22" customFormat="1" ht="15" x14ac:dyDescent="0.25">
      <c r="A99" s="57"/>
      <c r="B99" s="58"/>
      <c r="C99" s="223" t="s">
        <v>58</v>
      </c>
      <c r="D99" s="223"/>
      <c r="E99" s="223"/>
      <c r="F99" s="223"/>
      <c r="G99" s="223"/>
      <c r="H99" s="59"/>
      <c r="I99" s="60"/>
      <c r="J99" s="60"/>
      <c r="K99" s="60"/>
      <c r="L99" s="61"/>
      <c r="M99" s="60"/>
      <c r="N99" s="61"/>
      <c r="O99" s="60"/>
      <c r="P99" s="62">
        <f>176312/100*$O$34</f>
        <v>176312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43"/>
      <c r="AN99" s="43"/>
      <c r="AO99" s="43"/>
      <c r="AP99" s="43"/>
      <c r="AQ99" s="8" t="s">
        <v>58</v>
      </c>
      <c r="AR99" s="43"/>
      <c r="AS99" s="8"/>
      <c r="AT99" s="8"/>
      <c r="AU99" s="8"/>
      <c r="AV99" s="8"/>
      <c r="AW99" s="8"/>
      <c r="AX99" s="8"/>
      <c r="AY99" s="8"/>
      <c r="AZ99" s="8"/>
      <c r="BA99" s="8"/>
    </row>
    <row r="100" spans="1:53" s="22" customFormat="1" ht="15" x14ac:dyDescent="0.25">
      <c r="A100" s="57"/>
      <c r="B100" s="58" t="s">
        <v>111</v>
      </c>
      <c r="C100" s="223" t="s">
        <v>112</v>
      </c>
      <c r="D100" s="223"/>
      <c r="E100" s="223"/>
      <c r="F100" s="223"/>
      <c r="G100" s="223"/>
      <c r="H100" s="59" t="s">
        <v>61</v>
      </c>
      <c r="I100" s="63">
        <v>94</v>
      </c>
      <c r="J100" s="60"/>
      <c r="K100" s="63">
        <v>94</v>
      </c>
      <c r="L100" s="61"/>
      <c r="M100" s="60"/>
      <c r="N100" s="61"/>
      <c r="O100" s="60"/>
      <c r="P100" s="95">
        <f>P99*K100%</f>
        <v>165733.28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43"/>
      <c r="AN100" s="43"/>
      <c r="AO100" s="43"/>
      <c r="AP100" s="43"/>
      <c r="AQ100" s="8" t="s">
        <v>112</v>
      </c>
      <c r="AR100" s="43"/>
      <c r="AS100" s="8"/>
      <c r="AT100" s="8"/>
      <c r="AU100" s="8"/>
      <c r="AV100" s="8"/>
      <c r="AW100" s="8"/>
      <c r="AX100" s="8"/>
      <c r="AY100" s="8"/>
      <c r="AZ100" s="8"/>
      <c r="BA100" s="8"/>
    </row>
    <row r="101" spans="1:53" s="22" customFormat="1" ht="15" x14ac:dyDescent="0.25">
      <c r="A101" s="57"/>
      <c r="B101" s="58" t="s">
        <v>113</v>
      </c>
      <c r="C101" s="223" t="s">
        <v>114</v>
      </c>
      <c r="D101" s="223"/>
      <c r="E101" s="223"/>
      <c r="F101" s="223"/>
      <c r="G101" s="223"/>
      <c r="H101" s="59" t="s">
        <v>61</v>
      </c>
      <c r="I101" s="63">
        <v>51</v>
      </c>
      <c r="J101" s="60"/>
      <c r="K101" s="63">
        <v>51</v>
      </c>
      <c r="L101" s="61"/>
      <c r="M101" s="60"/>
      <c r="N101" s="61"/>
      <c r="O101" s="60"/>
      <c r="P101" s="95">
        <f>P99*K101%</f>
        <v>89919.12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43"/>
      <c r="AN101" s="43"/>
      <c r="AO101" s="43"/>
      <c r="AP101" s="43"/>
      <c r="AQ101" s="8" t="s">
        <v>114</v>
      </c>
      <c r="AR101" s="43"/>
      <c r="AS101" s="8"/>
      <c r="AT101" s="8"/>
      <c r="AU101" s="8"/>
      <c r="AV101" s="8"/>
      <c r="AW101" s="8"/>
      <c r="AX101" s="8"/>
      <c r="AY101" s="8"/>
      <c r="AZ101" s="8"/>
      <c r="BA101" s="8"/>
    </row>
    <row r="102" spans="1:53" s="22" customFormat="1" ht="15" x14ac:dyDescent="0.25">
      <c r="A102" s="64"/>
      <c r="B102" s="65"/>
      <c r="C102" s="222" t="s">
        <v>64</v>
      </c>
      <c r="D102" s="222"/>
      <c r="E102" s="222"/>
      <c r="F102" s="222"/>
      <c r="G102" s="222"/>
      <c r="H102" s="46"/>
      <c r="I102" s="47"/>
      <c r="J102" s="47"/>
      <c r="K102" s="47"/>
      <c r="L102" s="50"/>
      <c r="M102" s="47"/>
      <c r="N102" s="54">
        <v>109891.59</v>
      </c>
      <c r="O102" s="47"/>
      <c r="P102" s="96">
        <f>P98+P100+P101</f>
        <v>483523.4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43"/>
      <c r="AN102" s="43"/>
      <c r="AO102" s="43"/>
      <c r="AP102" s="43"/>
      <c r="AQ102" s="8"/>
      <c r="AR102" s="43" t="s">
        <v>64</v>
      </c>
      <c r="AS102" s="8"/>
      <c r="AT102" s="8"/>
      <c r="AU102" s="8"/>
      <c r="AV102" s="8"/>
      <c r="AW102" s="8"/>
      <c r="AX102" s="8"/>
      <c r="AY102" s="8"/>
      <c r="AZ102" s="8"/>
      <c r="BA102" s="8"/>
    </row>
    <row r="103" spans="1:53" s="22" customFormat="1" ht="23.25" x14ac:dyDescent="0.25">
      <c r="A103" s="44" t="s">
        <v>127</v>
      </c>
      <c r="B103" s="45" t="s">
        <v>241</v>
      </c>
      <c r="C103" s="224" t="s">
        <v>242</v>
      </c>
      <c r="D103" s="224"/>
      <c r="E103" s="224"/>
      <c r="F103" s="224"/>
      <c r="G103" s="224"/>
      <c r="H103" s="46" t="s">
        <v>96</v>
      </c>
      <c r="I103" s="47">
        <f>453.2/100*$O$34</f>
        <v>453.2</v>
      </c>
      <c r="J103" s="48">
        <v>1</v>
      </c>
      <c r="K103" s="67">
        <v>453.2</v>
      </c>
      <c r="L103" s="54">
        <v>2058.7800000000002</v>
      </c>
      <c r="M103" s="49">
        <v>1.25</v>
      </c>
      <c r="N103" s="54">
        <v>2573.48</v>
      </c>
      <c r="O103" s="47"/>
      <c r="P103" s="96">
        <f>N103*I103</f>
        <v>1166301.1359999999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43"/>
      <c r="AN103" s="43"/>
      <c r="AO103" s="43" t="s">
        <v>242</v>
      </c>
      <c r="AP103" s="43"/>
      <c r="AQ103" s="8"/>
      <c r="AR103" s="43"/>
      <c r="AS103" s="8"/>
      <c r="AT103" s="8"/>
      <c r="AU103" s="8"/>
      <c r="AV103" s="8"/>
      <c r="AW103" s="8"/>
      <c r="AX103" s="8"/>
      <c r="AY103" s="8"/>
      <c r="AZ103" s="8"/>
      <c r="BA103" s="8"/>
    </row>
    <row r="104" spans="1:53" s="22" customFormat="1" ht="15" x14ac:dyDescent="0.25">
      <c r="A104" s="64"/>
      <c r="B104" s="65"/>
      <c r="C104" s="222" t="s">
        <v>64</v>
      </c>
      <c r="D104" s="222"/>
      <c r="E104" s="222"/>
      <c r="F104" s="222"/>
      <c r="G104" s="222"/>
      <c r="H104" s="46"/>
      <c r="I104" s="47"/>
      <c r="J104" s="47"/>
      <c r="K104" s="47"/>
      <c r="L104" s="50"/>
      <c r="M104" s="47"/>
      <c r="N104" s="50"/>
      <c r="O104" s="47"/>
      <c r="P104" s="96">
        <f>P103</f>
        <v>1166301.1359999999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43"/>
      <c r="AN104" s="43"/>
      <c r="AO104" s="43"/>
      <c r="AP104" s="43"/>
      <c r="AQ104" s="8"/>
      <c r="AR104" s="43" t="s">
        <v>64</v>
      </c>
      <c r="AS104" s="8"/>
      <c r="AT104" s="8"/>
      <c r="AU104" s="8"/>
      <c r="AV104" s="8"/>
      <c r="AW104" s="8"/>
      <c r="AX104" s="8"/>
      <c r="AY104" s="8"/>
      <c r="AZ104" s="8"/>
      <c r="BA104" s="8"/>
    </row>
    <row r="105" spans="1:53" s="22" customFormat="1" ht="0" hidden="1" customHeight="1" x14ac:dyDescent="0.25">
      <c r="A105" s="71"/>
      <c r="B105" s="72"/>
      <c r="C105" s="72"/>
      <c r="D105" s="72"/>
      <c r="E105" s="72"/>
      <c r="F105" s="73"/>
      <c r="G105" s="73"/>
      <c r="H105" s="73"/>
      <c r="I105" s="73"/>
      <c r="J105" s="74"/>
      <c r="K105" s="73"/>
      <c r="L105" s="73"/>
      <c r="M105" s="73"/>
      <c r="N105" s="74"/>
      <c r="O105" s="75"/>
      <c r="P105" s="7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43"/>
      <c r="AN105" s="43"/>
      <c r="AO105" s="43"/>
      <c r="AP105" s="43"/>
      <c r="AQ105" s="8"/>
      <c r="AR105" s="43"/>
      <c r="AS105" s="8"/>
      <c r="AT105" s="8"/>
      <c r="AU105" s="8"/>
      <c r="AV105" s="8"/>
      <c r="AW105" s="8"/>
      <c r="AX105" s="8"/>
      <c r="AY105" s="8"/>
      <c r="AZ105" s="8"/>
      <c r="BA105" s="8"/>
    </row>
    <row r="106" spans="1:53" s="22" customFormat="1" ht="15" x14ac:dyDescent="0.25">
      <c r="A106" s="52"/>
      <c r="B106" s="76"/>
      <c r="C106" s="221" t="s">
        <v>140</v>
      </c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77"/>
      <c r="Q106" s="2"/>
      <c r="R106" s="2"/>
      <c r="S106" s="4"/>
      <c r="T106" s="4"/>
      <c r="U106" s="4"/>
      <c r="V106" s="4"/>
      <c r="W106" s="4"/>
      <c r="X106" s="4"/>
      <c r="Y106" s="4"/>
      <c r="Z106" s="4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43" t="s">
        <v>140</v>
      </c>
      <c r="AT106" s="8"/>
      <c r="AU106" s="8"/>
      <c r="AV106" s="8"/>
      <c r="AW106" s="8"/>
      <c r="AX106" s="8"/>
      <c r="AY106" s="8"/>
      <c r="AZ106" s="8"/>
      <c r="BA106" s="8"/>
    </row>
    <row r="107" spans="1:53" s="22" customFormat="1" ht="15" x14ac:dyDescent="0.25">
      <c r="A107" s="52"/>
      <c r="B107" s="53"/>
      <c r="C107" s="217" t="s">
        <v>141</v>
      </c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78">
        <f>1832131/100*$O$34</f>
        <v>1832131.0000000002</v>
      </c>
      <c r="Q107" s="2"/>
      <c r="R107" s="2"/>
      <c r="S107" s="4"/>
      <c r="T107" s="4"/>
      <c r="U107" s="4"/>
      <c r="V107" s="4"/>
      <c r="W107" s="4"/>
      <c r="X107" s="4"/>
      <c r="Y107" s="4"/>
      <c r="Z107" s="4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43"/>
      <c r="AT107" s="3" t="s">
        <v>141</v>
      </c>
      <c r="AU107" s="8"/>
      <c r="AV107" s="8"/>
      <c r="AW107" s="8"/>
      <c r="AX107" s="8"/>
      <c r="AY107" s="8"/>
      <c r="AZ107" s="8"/>
      <c r="BA107" s="8"/>
    </row>
    <row r="108" spans="1:53" s="22" customFormat="1" ht="15" x14ac:dyDescent="0.25">
      <c r="A108" s="52"/>
      <c r="B108" s="53"/>
      <c r="C108" s="217" t="s">
        <v>142</v>
      </c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78">
        <f>2227921/100*$O$34</f>
        <v>2227921</v>
      </c>
      <c r="Q108" s="2"/>
      <c r="R108" s="2"/>
      <c r="S108" s="4"/>
      <c r="T108" s="4"/>
      <c r="U108" s="4"/>
      <c r="V108" s="4"/>
      <c r="W108" s="4"/>
      <c r="X108" s="4"/>
      <c r="Y108" s="4"/>
      <c r="Z108" s="4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43"/>
      <c r="AT108" s="3" t="s">
        <v>142</v>
      </c>
      <c r="AU108" s="8"/>
      <c r="AV108" s="8"/>
      <c r="AW108" s="8"/>
      <c r="AX108" s="8"/>
      <c r="AY108" s="8"/>
      <c r="AZ108" s="8"/>
      <c r="BA108" s="8"/>
    </row>
    <row r="109" spans="1:53" s="22" customFormat="1" ht="15" x14ac:dyDescent="0.25">
      <c r="A109" s="52"/>
      <c r="B109" s="53"/>
      <c r="C109" s="217" t="s">
        <v>144</v>
      </c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78">
        <f>P43+P49+P55+P61+P68+P74+P81+P91+P99</f>
        <v>278640</v>
      </c>
      <c r="Q109" s="2"/>
      <c r="R109" s="2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43"/>
      <c r="AT109" s="3" t="s">
        <v>144</v>
      </c>
      <c r="AU109" s="8"/>
      <c r="AV109" s="8"/>
      <c r="AW109" s="8"/>
      <c r="AX109" s="8"/>
      <c r="AY109" s="8"/>
      <c r="AZ109" s="8"/>
      <c r="BA109" s="8"/>
    </row>
    <row r="110" spans="1:53" s="22" customFormat="1" ht="15" x14ac:dyDescent="0.25">
      <c r="A110" s="52"/>
      <c r="B110" s="53"/>
      <c r="C110" s="217" t="s">
        <v>145</v>
      </c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97">
        <f t="shared" ref="P110:P111" si="0">P44+P50+P56+P62+P69+P75+P82+P92+P100</f>
        <v>259250.9</v>
      </c>
      <c r="Q110" s="2"/>
      <c r="R110" s="2"/>
      <c r="S110" s="4"/>
      <c r="T110" s="4"/>
      <c r="U110" s="4"/>
      <c r="V110" s="4"/>
      <c r="W110" s="4"/>
      <c r="X110" s="4"/>
      <c r="Y110" s="4"/>
      <c r="Z110" s="4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43"/>
      <c r="AT110" s="3" t="s">
        <v>145</v>
      </c>
      <c r="AU110" s="8"/>
      <c r="AV110" s="8"/>
      <c r="AW110" s="8"/>
      <c r="AX110" s="8"/>
      <c r="AY110" s="8"/>
      <c r="AZ110" s="8"/>
      <c r="BA110" s="8"/>
    </row>
    <row r="111" spans="1:53" s="22" customFormat="1" ht="15" x14ac:dyDescent="0.25">
      <c r="A111" s="52"/>
      <c r="B111" s="53"/>
      <c r="C111" s="217" t="s">
        <v>146</v>
      </c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97">
        <f t="shared" si="0"/>
        <v>136538.18</v>
      </c>
      <c r="Q111" s="2"/>
      <c r="R111" s="2"/>
      <c r="S111" s="4"/>
      <c r="T111" s="4"/>
      <c r="U111" s="4"/>
      <c r="V111" s="4"/>
      <c r="W111" s="4"/>
      <c r="X111" s="4"/>
      <c r="Y111" s="4"/>
      <c r="Z111" s="4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43"/>
      <c r="AT111" s="3" t="s">
        <v>146</v>
      </c>
      <c r="AU111" s="8"/>
      <c r="AV111" s="8"/>
      <c r="AW111" s="8"/>
      <c r="AX111" s="8"/>
      <c r="AY111" s="8"/>
      <c r="AZ111" s="8"/>
      <c r="BA111" s="8"/>
    </row>
    <row r="112" spans="1:53" s="22" customFormat="1" ht="15" x14ac:dyDescent="0.25">
      <c r="A112" s="52"/>
      <c r="B112" s="76"/>
      <c r="C112" s="221" t="s">
        <v>147</v>
      </c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79">
        <f>P107+P110+P111</f>
        <v>2227920.08</v>
      </c>
      <c r="Q112" s="2"/>
      <c r="R112" s="2"/>
      <c r="S112" s="4"/>
      <c r="T112" s="4"/>
      <c r="U112" s="4"/>
      <c r="V112" s="4"/>
      <c r="W112" s="4"/>
      <c r="X112" s="4"/>
      <c r="Y112" s="4"/>
      <c r="Z112" s="4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43"/>
      <c r="AT112" s="3"/>
      <c r="AU112" s="43" t="s">
        <v>147</v>
      </c>
      <c r="AV112" s="8"/>
      <c r="AW112" s="8"/>
      <c r="AX112" s="8"/>
      <c r="AY112" s="8"/>
      <c r="AZ112" s="8"/>
      <c r="BA112" s="8"/>
    </row>
    <row r="113" spans="1:53" s="22" customFormat="1" ht="15" x14ac:dyDescent="0.25">
      <c r="A113" s="52"/>
      <c r="B113" s="76"/>
      <c r="C113" s="221" t="s">
        <v>148</v>
      </c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  <c r="P113" s="80"/>
      <c r="Q113" s="2"/>
      <c r="R113" s="2"/>
      <c r="S113" s="4"/>
      <c r="T113" s="4"/>
      <c r="U113" s="4"/>
      <c r="V113" s="4"/>
      <c r="W113" s="4"/>
      <c r="X113" s="4"/>
      <c r="Y113" s="4"/>
      <c r="Z113" s="4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43" t="s">
        <v>148</v>
      </c>
      <c r="AW113" s="8"/>
      <c r="AX113" s="8"/>
      <c r="AY113" s="8"/>
      <c r="AZ113" s="8"/>
      <c r="BA113" s="8"/>
    </row>
    <row r="114" spans="1:53" s="22" customFormat="1" ht="15" x14ac:dyDescent="0.25">
      <c r="A114" s="52"/>
      <c r="B114" s="76"/>
      <c r="C114" s="220" t="s">
        <v>150</v>
      </c>
      <c r="D114" s="220"/>
      <c r="E114" s="220"/>
      <c r="F114" s="220"/>
      <c r="G114" s="220"/>
      <c r="H114" s="220"/>
      <c r="I114" s="220"/>
      <c r="J114" s="220"/>
      <c r="K114" s="83">
        <f>596.51657/100*$O$34</f>
        <v>596.51657</v>
      </c>
      <c r="L114" s="220"/>
      <c r="M114" s="220"/>
      <c r="N114" s="220"/>
      <c r="O114" s="220"/>
      <c r="P114" s="82"/>
      <c r="Q114" s="2"/>
      <c r="R114" s="2"/>
      <c r="S114" s="4"/>
      <c r="T114" s="4"/>
      <c r="U114" s="4"/>
      <c r="V114" s="4"/>
      <c r="W114" s="4"/>
      <c r="X114" s="4"/>
      <c r="Y114" s="4"/>
      <c r="Z114" s="4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43"/>
      <c r="AW114" s="3" t="s">
        <v>150</v>
      </c>
      <c r="AX114" s="8"/>
      <c r="AY114" s="8"/>
      <c r="AZ114" s="8"/>
      <c r="BA114" s="8"/>
    </row>
    <row r="115" spans="1:53" s="22" customFormat="1" ht="15" x14ac:dyDescent="0.25">
      <c r="A115" s="52"/>
      <c r="B115" s="76"/>
      <c r="C115" s="220" t="s">
        <v>151</v>
      </c>
      <c r="D115" s="220"/>
      <c r="E115" s="220"/>
      <c r="F115" s="220"/>
      <c r="G115" s="220"/>
      <c r="H115" s="220"/>
      <c r="I115" s="220"/>
      <c r="J115" s="220"/>
      <c r="K115" s="81">
        <f>52.4606/100*$O$34</f>
        <v>52.460599999999999</v>
      </c>
      <c r="L115" s="220"/>
      <c r="M115" s="220"/>
      <c r="N115" s="220"/>
      <c r="O115" s="220"/>
      <c r="P115" s="82"/>
      <c r="Q115" s="2"/>
      <c r="R115" s="2"/>
      <c r="S115" s="4"/>
      <c r="T115" s="4"/>
      <c r="U115" s="4"/>
      <c r="V115" s="4"/>
      <c r="W115" s="4"/>
      <c r="X115" s="4"/>
      <c r="Y115" s="4"/>
      <c r="Z115" s="4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43"/>
      <c r="AW115" s="3" t="s">
        <v>151</v>
      </c>
      <c r="AX115" s="8"/>
      <c r="AY115" s="8"/>
      <c r="AZ115" s="8"/>
      <c r="BA115" s="8"/>
    </row>
    <row r="116" spans="1:53" s="22" customFormat="1" ht="11.25" hidden="1" customHeight="1" x14ac:dyDescent="0.2">
      <c r="A116" s="5"/>
      <c r="B116" s="74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84"/>
      <c r="O116" s="85"/>
      <c r="P116" s="86"/>
      <c r="Q116" s="2"/>
      <c r="R116" s="2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</row>
    <row r="117" spans="1:53" s="4" customFormat="1" ht="26.25" customHeight="1" x14ac:dyDescent="0.25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</row>
    <row r="118" spans="1:53" s="22" customFormat="1" ht="15" x14ac:dyDescent="0.25">
      <c r="A118" s="7"/>
      <c r="B118" s="88" t="s">
        <v>152</v>
      </c>
      <c r="C118" s="218"/>
      <c r="D118" s="218"/>
      <c r="E118" s="218"/>
      <c r="F118" s="218"/>
      <c r="G118" s="218"/>
      <c r="H118" s="218"/>
      <c r="I118" s="219"/>
      <c r="J118" s="219"/>
      <c r="K118" s="219"/>
      <c r="L118" s="219"/>
      <c r="M118" s="219"/>
      <c r="N118" s="219"/>
      <c r="O118" s="4"/>
      <c r="P118" s="4"/>
      <c r="Q118" s="2"/>
      <c r="R118" s="2"/>
      <c r="S118" s="4"/>
      <c r="T118" s="4"/>
      <c r="U118" s="4"/>
      <c r="V118" s="4"/>
      <c r="W118" s="4"/>
      <c r="X118" s="4"/>
      <c r="Y118" s="4"/>
      <c r="Z118" s="4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 t="s">
        <v>9</v>
      </c>
      <c r="AY118" s="8" t="s">
        <v>9</v>
      </c>
      <c r="AZ118" s="8"/>
      <c r="BA118" s="8"/>
    </row>
    <row r="119" spans="1:53" s="89" customFormat="1" ht="16.5" customHeight="1" x14ac:dyDescent="0.25">
      <c r="A119" s="12"/>
      <c r="B119" s="88"/>
      <c r="C119" s="214" t="s">
        <v>153</v>
      </c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Q119" s="90"/>
      <c r="R119" s="90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</row>
    <row r="120" spans="1:53" s="22" customFormat="1" ht="15" x14ac:dyDescent="0.25">
      <c r="A120" s="7"/>
      <c r="B120" s="88" t="s">
        <v>154</v>
      </c>
      <c r="C120" s="218"/>
      <c r="D120" s="218"/>
      <c r="E120" s="218"/>
      <c r="F120" s="218"/>
      <c r="G120" s="218"/>
      <c r="H120" s="218"/>
      <c r="I120" s="219"/>
      <c r="J120" s="219"/>
      <c r="K120" s="219"/>
      <c r="L120" s="219"/>
      <c r="M120" s="219"/>
      <c r="N120" s="219"/>
      <c r="O120" s="4"/>
      <c r="P120" s="4"/>
      <c r="Q120" s="2"/>
      <c r="R120" s="2"/>
      <c r="S120" s="4"/>
      <c r="T120" s="4"/>
      <c r="U120" s="4"/>
      <c r="V120" s="4"/>
      <c r="W120" s="4"/>
      <c r="X120" s="4"/>
      <c r="Y120" s="4"/>
      <c r="Z120" s="4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 t="s">
        <v>9</v>
      </c>
      <c r="BA120" s="8" t="s">
        <v>9</v>
      </c>
    </row>
    <row r="121" spans="1:53" s="89" customFormat="1" ht="16.5" customHeight="1" x14ac:dyDescent="0.25">
      <c r="A121" s="12"/>
      <c r="C121" s="214" t="s">
        <v>153</v>
      </c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Q121" s="90"/>
      <c r="R121" s="90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</row>
    <row r="122" spans="1:53" s="4" customFormat="1" ht="12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53" s="4" customFormat="1" ht="26.25" customHeight="1" x14ac:dyDescent="0.25">
      <c r="A123" s="215" t="s">
        <v>155</v>
      </c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</row>
    <row r="124" spans="1:53" s="4" customFormat="1" ht="17.25" customHeight="1" x14ac:dyDescent="0.25">
      <c r="A124" s="217" t="s">
        <v>156</v>
      </c>
      <c r="B124" s="217"/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</row>
    <row r="125" spans="1:53" s="4" customFormat="1" ht="17.25" customHeight="1" x14ac:dyDescent="0.25">
      <c r="A125" s="217" t="s">
        <v>157</v>
      </c>
      <c r="B125" s="21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</row>
    <row r="126" spans="1:53" s="4" customFormat="1" ht="13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53" s="4" customFormat="1" ht="15" x14ac:dyDescent="0.25">
      <c r="A127" s="5"/>
    </row>
    <row r="128" spans="1:53" s="4" customFormat="1" ht="15" x14ac:dyDescent="0.25">
      <c r="A128" s="5"/>
    </row>
    <row r="129" spans="1:1" s="4" customFormat="1" ht="15" x14ac:dyDescent="0.25">
      <c r="A129" s="5"/>
    </row>
    <row r="130" spans="1:1" s="4" customFormat="1" ht="15" x14ac:dyDescent="0.25">
      <c r="A130" s="5"/>
    </row>
    <row r="131" spans="1:1" s="4" customFormat="1" ht="15" x14ac:dyDescent="0.25">
      <c r="A131" s="5"/>
    </row>
    <row r="132" spans="1:1" s="4" customFormat="1" ht="15" x14ac:dyDescent="0.25">
      <c r="A132" s="5"/>
    </row>
    <row r="133" spans="1:1" s="4" customFormat="1" ht="15" x14ac:dyDescent="0.25">
      <c r="A133" s="5"/>
    </row>
    <row r="134" spans="1:1" s="4" customFormat="1" ht="15" x14ac:dyDescent="0.25">
      <c r="A134" s="5"/>
    </row>
    <row r="135" spans="1:1" s="4" customFormat="1" ht="15" x14ac:dyDescent="0.25">
      <c r="A135" s="5"/>
    </row>
    <row r="136" spans="1:1" s="4" customFormat="1" ht="15" x14ac:dyDescent="0.25">
      <c r="A136" s="5"/>
    </row>
    <row r="137" spans="1:1" s="4" customFormat="1" ht="15" x14ac:dyDescent="0.25">
      <c r="A137" s="5"/>
    </row>
    <row r="138" spans="1:1" s="4" customFormat="1" ht="15" x14ac:dyDescent="0.25">
      <c r="A138" s="5"/>
    </row>
    <row r="139" spans="1:1" s="4" customFormat="1" ht="15" x14ac:dyDescent="0.25">
      <c r="A139" s="5"/>
    </row>
    <row r="140" spans="1:1" s="4" customFormat="1" ht="15" x14ac:dyDescent="0.25">
      <c r="A140" s="5"/>
    </row>
    <row r="141" spans="1:1" s="4" customFormat="1" ht="15" x14ac:dyDescent="0.25">
      <c r="A141" s="5"/>
    </row>
    <row r="142" spans="1:1" s="4" customFormat="1" ht="15" x14ac:dyDescent="0.25">
      <c r="A142" s="5"/>
    </row>
    <row r="143" spans="1:1" s="4" customFormat="1" ht="15" x14ac:dyDescent="0.25">
      <c r="A143" s="5"/>
    </row>
    <row r="144" spans="1:1" s="4" customFormat="1" ht="15" x14ac:dyDescent="0.25">
      <c r="A144" s="5"/>
    </row>
    <row r="145" spans="1:1" s="4" customFormat="1" ht="15" x14ac:dyDescent="0.25">
      <c r="A145" s="5"/>
    </row>
    <row r="146" spans="1:1" s="4" customFormat="1" ht="15" x14ac:dyDescent="0.25">
      <c r="A146" s="5"/>
    </row>
    <row r="147" spans="1:1" s="4" customFormat="1" ht="15" x14ac:dyDescent="0.25">
      <c r="A147" s="5"/>
    </row>
    <row r="148" spans="1:1" s="4" customFormat="1" ht="15" x14ac:dyDescent="0.25">
      <c r="A148" s="5"/>
    </row>
    <row r="149" spans="1:1" s="4" customFormat="1" ht="15" x14ac:dyDescent="0.25">
      <c r="A149" s="5"/>
    </row>
    <row r="150" spans="1:1" s="4" customFormat="1" ht="15" x14ac:dyDescent="0.25">
      <c r="A150" s="5"/>
    </row>
    <row r="151" spans="1:1" s="4" customFormat="1" ht="15" x14ac:dyDescent="0.25">
      <c r="A151" s="5"/>
    </row>
    <row r="152" spans="1:1" s="4" customFormat="1" ht="15" x14ac:dyDescent="0.25">
      <c r="A152" s="5"/>
    </row>
    <row r="153" spans="1:1" s="4" customFormat="1" ht="15" x14ac:dyDescent="0.25">
      <c r="A153" s="5"/>
    </row>
    <row r="154" spans="1:1" s="4" customFormat="1" ht="15" x14ac:dyDescent="0.25">
      <c r="A154" s="5"/>
    </row>
    <row r="155" spans="1:1" s="4" customFormat="1" ht="15" x14ac:dyDescent="0.25">
      <c r="A155" s="5"/>
    </row>
    <row r="156" spans="1:1" s="4" customFormat="1" ht="15" x14ac:dyDescent="0.25">
      <c r="A156" s="5"/>
    </row>
    <row r="157" spans="1:1" s="4" customFormat="1" ht="15" x14ac:dyDescent="0.25">
      <c r="A157" s="5"/>
    </row>
    <row r="158" spans="1:1" s="4" customFormat="1" ht="15" x14ac:dyDescent="0.25">
      <c r="A158" s="5"/>
    </row>
    <row r="159" spans="1:1" s="4" customFormat="1" ht="15" x14ac:dyDescent="0.25">
      <c r="A159" s="5"/>
    </row>
    <row r="160" spans="1:1" s="4" customFormat="1" ht="15" x14ac:dyDescent="0.25">
      <c r="A160" s="5"/>
    </row>
    <row r="161" spans="1:1" s="4" customFormat="1" ht="15" x14ac:dyDescent="0.25">
      <c r="A161" s="5"/>
    </row>
  </sheetData>
  <mergeCells count="120">
    <mergeCell ref="A7:F7"/>
    <mergeCell ref="G7:P7"/>
    <mergeCell ref="A8:F8"/>
    <mergeCell ref="G8:P8"/>
    <mergeCell ref="A9:F9"/>
    <mergeCell ref="G9:P9"/>
    <mergeCell ref="A4:F4"/>
    <mergeCell ref="G4:P4"/>
    <mergeCell ref="A5:F5"/>
    <mergeCell ref="G5:P5"/>
    <mergeCell ref="A6:F6"/>
    <mergeCell ref="G6:P6"/>
    <mergeCell ref="A14:P14"/>
    <mergeCell ref="A16:P16"/>
    <mergeCell ref="A17:P17"/>
    <mergeCell ref="A18:P18"/>
    <mergeCell ref="A20:P20"/>
    <mergeCell ref="A10:F10"/>
    <mergeCell ref="G10:P10"/>
    <mergeCell ref="A11:F11"/>
    <mergeCell ref="G11:P11"/>
    <mergeCell ref="A13:P13"/>
    <mergeCell ref="C38:G38"/>
    <mergeCell ref="A39:P39"/>
    <mergeCell ref="A40:P40"/>
    <mergeCell ref="C41:G41"/>
    <mergeCell ref="C42:G42"/>
    <mergeCell ref="A21:P21"/>
    <mergeCell ref="B23:F23"/>
    <mergeCell ref="B24:F24"/>
    <mergeCell ref="C26:F26"/>
    <mergeCell ref="A35:A37"/>
    <mergeCell ref="B35:B37"/>
    <mergeCell ref="C35:G37"/>
    <mergeCell ref="H35:H37"/>
    <mergeCell ref="I35:K36"/>
    <mergeCell ref="L35:P36"/>
    <mergeCell ref="C48:G48"/>
    <mergeCell ref="C49:G49"/>
    <mergeCell ref="C50:G50"/>
    <mergeCell ref="C51:G51"/>
    <mergeCell ref="C52:G52"/>
    <mergeCell ref="C43:G43"/>
    <mergeCell ref="C44:G44"/>
    <mergeCell ref="C45:G45"/>
    <mergeCell ref="C46:G46"/>
    <mergeCell ref="C47:G47"/>
    <mergeCell ref="C58:G58"/>
    <mergeCell ref="C59:G59"/>
    <mergeCell ref="C60:G60"/>
    <mergeCell ref="C61:G61"/>
    <mergeCell ref="C62:G62"/>
    <mergeCell ref="C53:G53"/>
    <mergeCell ref="C54:G54"/>
    <mergeCell ref="C55:G55"/>
    <mergeCell ref="C56:G56"/>
    <mergeCell ref="C57:G57"/>
    <mergeCell ref="C68:G68"/>
    <mergeCell ref="C69:G69"/>
    <mergeCell ref="C70:G70"/>
    <mergeCell ref="C71:G71"/>
    <mergeCell ref="C72:G72"/>
    <mergeCell ref="C63:G63"/>
    <mergeCell ref="C64:G64"/>
    <mergeCell ref="A65:P65"/>
    <mergeCell ref="C66:G66"/>
    <mergeCell ref="C67:G67"/>
    <mergeCell ref="A78:P78"/>
    <mergeCell ref="C79:G79"/>
    <mergeCell ref="C80:G80"/>
    <mergeCell ref="C81:G81"/>
    <mergeCell ref="C82:G82"/>
    <mergeCell ref="C73:G73"/>
    <mergeCell ref="C74:G74"/>
    <mergeCell ref="C75:G75"/>
    <mergeCell ref="C76:G76"/>
    <mergeCell ref="C77:G77"/>
    <mergeCell ref="C88:G88"/>
    <mergeCell ref="C89:G89"/>
    <mergeCell ref="C90:G90"/>
    <mergeCell ref="C91:G91"/>
    <mergeCell ref="C92:G92"/>
    <mergeCell ref="C83:G83"/>
    <mergeCell ref="C84:G84"/>
    <mergeCell ref="C85:G85"/>
    <mergeCell ref="C86:G86"/>
    <mergeCell ref="C87:G87"/>
    <mergeCell ref="C98:G98"/>
    <mergeCell ref="C99:G99"/>
    <mergeCell ref="C100:G100"/>
    <mergeCell ref="C101:G101"/>
    <mergeCell ref="C102:G102"/>
    <mergeCell ref="C93:G93"/>
    <mergeCell ref="C94:G94"/>
    <mergeCell ref="C95:G95"/>
    <mergeCell ref="C96:G96"/>
    <mergeCell ref="C97:G97"/>
    <mergeCell ref="C109:O109"/>
    <mergeCell ref="C110:O110"/>
    <mergeCell ref="C111:O111"/>
    <mergeCell ref="C112:O112"/>
    <mergeCell ref="C113:O113"/>
    <mergeCell ref="C103:G103"/>
    <mergeCell ref="C104:G104"/>
    <mergeCell ref="C106:O106"/>
    <mergeCell ref="C107:O107"/>
    <mergeCell ref="C108:O108"/>
    <mergeCell ref="A124:P124"/>
    <mergeCell ref="A125:P125"/>
    <mergeCell ref="C119:N119"/>
    <mergeCell ref="C120:H120"/>
    <mergeCell ref="I120:N120"/>
    <mergeCell ref="C121:N121"/>
    <mergeCell ref="A123:P123"/>
    <mergeCell ref="C114:J114"/>
    <mergeCell ref="L114:O114"/>
    <mergeCell ref="C115:J115"/>
    <mergeCell ref="L115:O115"/>
    <mergeCell ref="C118:H118"/>
    <mergeCell ref="I118:N118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9" fitToHeight="0" orientation="landscape" r:id="rId1"/>
  <headerFooter>
    <oddFooter>&amp;RСтраница &amp;P</oddFooter>
  </headerFooter>
  <rowBreaks count="1" manualBreakCount="1">
    <brk id="34" max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 вариант - ЛСР по Методике 202</vt:lpstr>
      <vt:lpstr>2 вариант - ЛСР по Методике 202</vt:lpstr>
      <vt:lpstr>3 вариант - ЛСР по Методике 202</vt:lpstr>
      <vt:lpstr>4 вариант - ЛСР по Методике 202</vt:lpstr>
      <vt:lpstr>5 вариант - ЛСР по Методике 202</vt:lpstr>
      <vt:lpstr>6 вариант - ЛСР по Методике 202</vt:lpstr>
      <vt:lpstr>'1 вариант - ЛСР по Методике 202'!Заголовки_для_печати</vt:lpstr>
      <vt:lpstr>'2 вариант - ЛСР по Методике 202'!Заголовки_для_печати</vt:lpstr>
      <vt:lpstr>'3 вариант - ЛСР по Методике 202'!Заголовки_для_печати</vt:lpstr>
      <vt:lpstr>'4 вариант - ЛСР по Методике 202'!Заголовки_для_печати</vt:lpstr>
      <vt:lpstr>'5 вариант - ЛСР по Методике 202'!Заголовки_для_печати</vt:lpstr>
      <vt:lpstr>'6 вариант - ЛСР по Методике 202'!Заголовки_для_печати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Нинель Авдеева</dc:creator>
  <cp:lastModifiedBy>Владимир Метлицкий</cp:lastModifiedBy>
  <dcterms:created xsi:type="dcterms:W3CDTF">2024-01-23T15:23:24Z</dcterms:created>
  <dcterms:modified xsi:type="dcterms:W3CDTF">2024-01-24T07:14:52Z</dcterms:modified>
</cp:coreProperties>
</file>