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ДФ\03_Работа\Спецпром_1\01_Объекты\Для Метлицкого ВС_25 дек\"/>
    </mc:Choice>
  </mc:AlternateContent>
  <bookViews>
    <workbookView xWindow="480" yWindow="132" windowWidth="11340" windowHeight="9288" tabRatio="816" firstSheet="1" activeTab="5"/>
  </bookViews>
  <sheets>
    <sheet name="Ввод данных" sheetId="3" state="hidden" r:id="rId1"/>
    <sheet name="СВОР_вар_1_ПБЗГУ" sheetId="6" r:id="rId2"/>
    <sheet name="СВОР_вар_2_П-2" sheetId="10" r:id="rId3"/>
    <sheet name="СВОР_вар_3_мон бет" sheetId="11" r:id="rId4"/>
    <sheet name="СВОР_вар_4_георешетки" sheetId="12" r:id="rId5"/>
    <sheet name="СВОР_вар_5_матрацы" sheetId="13" r:id="rId6"/>
    <sheet name="СВОР_вар_6_камень" sheetId="14" r:id="rId7"/>
  </sheets>
  <calcPr calcId="162913"/>
</workbook>
</file>

<file path=xl/calcChain.xml><?xml version="1.0" encoding="utf-8"?>
<calcChain xmlns="http://schemas.openxmlformats.org/spreadsheetml/2006/main">
  <c r="E19" i="14" l="1"/>
  <c r="E18" i="14"/>
  <c r="E16" i="14"/>
  <c r="E17" i="14" s="1"/>
  <c r="E12" i="14"/>
  <c r="E13" i="14"/>
  <c r="E31" i="13"/>
  <c r="E30" i="13"/>
  <c r="E29" i="13"/>
  <c r="E27" i="13"/>
  <c r="E23" i="13"/>
  <c r="E24" i="13" s="1"/>
  <c r="E20" i="13"/>
  <c r="E18" i="13"/>
  <c r="E19" i="13" s="1"/>
  <c r="E16" i="13"/>
  <c r="E17" i="13" s="1"/>
  <c r="E12" i="13"/>
  <c r="E13" i="13" s="1"/>
  <c r="E27" i="12" l="1"/>
  <c r="E26" i="12"/>
  <c r="E25" i="12"/>
  <c r="E18" i="12"/>
  <c r="E12" i="12"/>
  <c r="E17" i="12"/>
  <c r="E16" i="12"/>
  <c r="E24" i="12"/>
  <c r="E23" i="12"/>
  <c r="E20" i="12"/>
  <c r="E19" i="12"/>
  <c r="E13" i="12"/>
  <c r="E26" i="11"/>
  <c r="E25" i="11"/>
  <c r="E24" i="11"/>
  <c r="E23" i="11"/>
  <c r="E20" i="11"/>
  <c r="E19" i="11"/>
  <c r="E16" i="11"/>
  <c r="E17" i="11" s="1"/>
  <c r="E13" i="11"/>
  <c r="E12" i="11"/>
  <c r="E25" i="10"/>
  <c r="E24" i="10"/>
  <c r="E20" i="10"/>
  <c r="E19" i="10"/>
  <c r="E16" i="6"/>
  <c r="E17" i="10"/>
  <c r="E16" i="10"/>
  <c r="E15" i="6"/>
  <c r="E13" i="10"/>
  <c r="E12" i="10"/>
  <c r="E28" i="10" l="1"/>
  <c r="E23" i="10"/>
  <c r="E11" i="6" l="1"/>
  <c r="E8" i="6"/>
  <c r="E7" i="6"/>
  <c r="E10" i="6"/>
  <c r="E14" i="6"/>
  <c r="E17" i="6"/>
  <c r="E22" i="6"/>
  <c r="E20" i="6"/>
  <c r="B16" i="3" l="1"/>
  <c r="B11" i="3"/>
  <c r="B15" i="3" s="1"/>
  <c r="B18" i="3" s="1"/>
  <c r="I18" i="3" s="1"/>
  <c r="I23" i="3" s="1"/>
  <c r="B21" i="3" l="1"/>
  <c r="B26" i="3" s="1"/>
</calcChain>
</file>

<file path=xl/sharedStrings.xml><?xml version="1.0" encoding="utf-8"?>
<sst xmlns="http://schemas.openxmlformats.org/spreadsheetml/2006/main" count="328" uniqueCount="159">
  <si>
    <t>3</t>
  </si>
  <si>
    <t>шт.</t>
  </si>
  <si>
    <t>Коэффициент индексации</t>
  </si>
  <si>
    <t>Ячейки для ввода данных</t>
  </si>
  <si>
    <t>Внимание!</t>
  </si>
  <si>
    <t>Результаты автоматического вычисления</t>
  </si>
  <si>
    <r>
      <t xml:space="preserve">Заложение откоса, </t>
    </r>
    <r>
      <rPr>
        <b/>
        <sz val="16"/>
        <color indexed="12"/>
        <rFont val="Arial Cyr"/>
        <charset val="204"/>
      </rPr>
      <t>рекомендуется 1:2</t>
    </r>
  </si>
  <si>
    <t>Количество ГБ-плит марки ПБЗГУ:</t>
  </si>
  <si>
    <t>Длина берегоукрепления, м</t>
  </si>
  <si>
    <t>Высота защищаемого откоса по вертикали, м</t>
  </si>
  <si>
    <t>Ширина защищаемой поверхности, м</t>
  </si>
  <si>
    <t>всего, шт.</t>
  </si>
  <si>
    <r>
      <t>(одна бригада в одну смену)</t>
    </r>
    <r>
      <rPr>
        <b/>
        <sz val="16"/>
        <color indexed="10"/>
        <rFont val="Arial Cyr"/>
        <charset val="204"/>
      </rPr>
      <t>, дни</t>
    </r>
  </si>
  <si>
    <r>
      <t>(работа полный световой день)</t>
    </r>
    <r>
      <rPr>
        <b/>
        <sz val="16"/>
        <color indexed="10"/>
        <rFont val="Arial Cyr"/>
        <charset val="204"/>
      </rPr>
      <t>, дни</t>
    </r>
  </si>
  <si>
    <t>по ширине откоса, шт.</t>
  </si>
  <si>
    <t>по длине откоса, шт.</t>
  </si>
  <si>
    <t>Срок монтажа ГБ-плит марки ПБЗГУ</t>
  </si>
  <si>
    <t>Стоимость берегоукрепительных работ:</t>
  </si>
  <si>
    <t>в ценах 01.01.2001, руб.</t>
  </si>
  <si>
    <t>в текущих ценах, руб.</t>
  </si>
  <si>
    <t>Непредвиденные затраты</t>
  </si>
  <si>
    <t>НДС</t>
  </si>
  <si>
    <t>Временные здания и сооружения</t>
  </si>
  <si>
    <r>
      <t>предпроектного</t>
    </r>
    <r>
      <rPr>
        <b/>
        <sz val="18"/>
        <color indexed="12"/>
        <rFont val="Arial Cyr"/>
        <charset val="204"/>
      </rPr>
      <t xml:space="preserve"> расчета стоимости берегоукрепительного сооружения</t>
    </r>
  </si>
  <si>
    <t>Ячейки со значениями из нормативов</t>
  </si>
  <si>
    <t>ремонтно-аварийный запас, %</t>
  </si>
  <si>
    <t>по подготовленному и спланированному откосу</t>
  </si>
  <si>
    <t>Марка ПБЗГУ (405 или 105)</t>
  </si>
  <si>
    <t>Калькулятор</t>
  </si>
  <si>
    <t xml:space="preserve">Допустимые углы заложония откоса </t>
  </si>
  <si>
    <t>7,46</t>
  </si>
  <si>
    <t>405</t>
  </si>
  <si>
    <t>№ п/п</t>
  </si>
  <si>
    <t>Наименование работ</t>
  </si>
  <si>
    <t>Ед. изм</t>
  </si>
  <si>
    <t>Кол-во</t>
  </si>
  <si>
    <t>Примечание</t>
  </si>
  <si>
    <t>1. Земляные работы</t>
  </si>
  <si>
    <r>
      <t>м</t>
    </r>
    <r>
      <rPr>
        <vertAlign val="superscript"/>
        <sz val="12"/>
        <color theme="1"/>
        <rFont val="Times New Roman"/>
        <family val="1"/>
        <charset val="204"/>
      </rPr>
      <t>3</t>
    </r>
  </si>
  <si>
    <t>2. Планировочные работы</t>
  </si>
  <si>
    <t>Уплотнение грунта пневмотрамбовками при глубине уплотнения 40 см</t>
  </si>
  <si>
    <t>3. Укрепительные работы</t>
  </si>
  <si>
    <t xml:space="preserve"> расход геотекстильного материала</t>
  </si>
  <si>
    <t xml:space="preserve">Устройство верхнего крепления плит ПБЗГУ-405 грунтовыми распорными анкерами модели АГ 1,5-20 (длина 1,5 м, диаметр 20 мм) 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</si>
  <si>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</si>
  <si>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 xml:space="preserve"> Рытье траншеи под защитный фартук в грунтах 1 группы вручную со складированием в валы</t>
  </si>
  <si>
    <t>Обратная надвижка грунта на защитный фартук с дальнейшим разравниванием на прилегающей территории</t>
  </si>
  <si>
    <t>Планировка откосов насыпи в грунтах 1 группы экскаватором-планировщиком</t>
  </si>
  <si>
    <t>Укрепление откосов насыпи засевом трав по слою растительного грунта толщиной 0,15 м:</t>
  </si>
  <si>
    <t>Разравнивание и планировка грунта 1 группы бульдозером мощностью 79 кВт на прилегающей территории</t>
  </si>
  <si>
    <t>Зачистка дна и поверхности стенок в грунтах 1 группы вручную со складированием в валы</t>
  </si>
  <si>
    <t xml:space="preserve">Обратная засыпка (заполнение пазух) траншеи грунтом 1 группы вручную </t>
  </si>
  <si>
    <t>Укрепление откосов насыпи засевом трав по слою растительного грунта толщиной 0,31 м:</t>
  </si>
  <si>
    <t>Устройство прослойки из геотекстильного материала прочностью не менее 250 г/м2</t>
  </si>
  <si>
    <t>Устройство щебеночной подготовки под упор толщиной 0,10 м. Щебень марки М-800 фракции 20-40 мм</t>
  </si>
  <si>
    <t xml:space="preserve"> Устройство траншеи в основании насыпи под упорную призму в грунтах 1 группы экскаватором-погрузчиком навымет</t>
  </si>
  <si>
    <t>м</t>
  </si>
  <si>
    <r>
      <rPr>
        <b/>
        <u/>
        <sz val="12"/>
        <color theme="1"/>
        <rFont val="Times New Roman"/>
        <family val="1"/>
        <charset val="204"/>
      </rPr>
      <t xml:space="preserve">Вариант 1.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автомобильной дороги гибкими бетонными плитами ПБЗГУ-405 (размер 2,785х1,260х0,150 м) при высоте насыпи 4,68м и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</si>
  <si>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t>Укладка гибких бетонных плит ПБЗГУ-405 на откосы насыпи с дальнейшим креплением за закладные металлические детали. Размер плиты 2,785х1,260х0,150 м. Бетон B30, F1 300, W8. Объем бетона 0,34 м3</t>
  </si>
  <si>
    <r>
      <t xml:space="preserve">Расклинцовка промежутков между блоками плит щебнем </t>
    </r>
    <r>
      <rPr>
        <i/>
        <sz val="12"/>
        <rFont val="Times New Roman"/>
        <family val="1"/>
        <charset val="204"/>
      </rPr>
      <t xml:space="preserve">М-400 </t>
    </r>
    <r>
      <rPr>
        <sz val="12"/>
        <rFont val="Times New Roman"/>
        <family val="1"/>
        <charset val="204"/>
      </rPr>
      <t>фракции 5(3)-10 мм.</t>
    </r>
  </si>
  <si>
    <t>Установка сборного бетонного упора У-2.  Размер упора 0,40х0,50х2,0 м. Бетон B20, F 200. Объем бетона 0,4 м3</t>
  </si>
  <si>
    <t>Устройство упорной призмы из щебня, камня</t>
  </si>
  <si>
    <t>Устройство щебеночной подготовки под сборные плиты толщиной 0,15 м. Щебень марки М-800 фракции 40-70 мм</t>
  </si>
  <si>
    <t>Укладка сборных бетонных плит П-2          (ПБ1-16) на откосы насыпи. Размер плиты 1,0х1,0х0,16 м. Бетон B20, F 200. Объем бетона 0,16 м3</t>
  </si>
  <si>
    <r>
      <rPr>
        <b/>
        <u/>
        <sz val="12"/>
        <color theme="1"/>
        <rFont val="Times New Roman"/>
        <family val="1"/>
        <charset val="204"/>
      </rPr>
      <t xml:space="preserve">Вариант 2.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автомобильной дороги бетонными плитами П-2 (размер 1,0х1,0х0,160 м) при высоте насыпи 4,68м и                                          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</si>
  <si>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r>
      <rPr>
        <b/>
        <u/>
        <sz val="12"/>
        <color theme="1"/>
        <rFont val="Times New Roman"/>
        <family val="1"/>
        <charset val="204"/>
      </rPr>
      <t xml:space="preserve">Вариант 3.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автомобильной дороги                                                             монолитным бетоном толщиной 0,16м при высоте насыпи 4,68м и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</si>
  <si>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t xml:space="preserve">Устройство мономитного бетонного упора. Бетон B20, F 200. </t>
  </si>
  <si>
    <t>Устройство щебеночной подготовки под монолитную плиту толщиной 0,15 м. Щебень марки М-800 фракции 40-70 мм</t>
  </si>
  <si>
    <t>Устройство укрепления откосов монолиитным бетоном толщиной 0,16 м. Бетон B20, F 200</t>
  </si>
  <si>
    <r>
      <rPr>
        <b/>
        <u/>
        <sz val="12"/>
        <color theme="1"/>
        <rFont val="Times New Roman"/>
        <family val="1"/>
        <charset val="204"/>
      </rPr>
      <t xml:space="preserve">Вариант 4.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автомобильной дороги георешетчатыми конструкциями Polimat 1210 толщиной 0,17м при высоте насыпи 4,68м и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</si>
  <si>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t>Укрепление откосов насыпи засевом трав по слою растительного грунта толщиной 0,17 м:</t>
  </si>
  <si>
    <t>Укладка георешетчатых конструкций Polimat 1210 с установкой монтажных анкеров через 1м  в шахматном порядке, толщина 0,17 м</t>
  </si>
  <si>
    <t>Заполнение ячеек георешеток щебнем марки М-800 фракции 40-70 мм</t>
  </si>
  <si>
    <t>Устройство защитного слоя над георешетками из щебня марки М-800 фракции 10-20 мм толщиной 0,05 м</t>
  </si>
  <si>
    <r>
      <rPr>
        <b/>
        <u/>
        <sz val="12"/>
        <color theme="1"/>
        <rFont val="Times New Roman"/>
        <family val="1"/>
        <charset val="204"/>
      </rPr>
      <t xml:space="preserve">Вариант 5.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автодороги габионными конструкциями - матрацами "Рено" (размеры 3,0х2,0х0,17м и 4,0х2,0х0,17м) при высоте насыпи 4,68м и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</si>
  <si>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t xml:space="preserve"> Устройство траншеи в основании насыпи под упорный габион в грунтах 1 группы экскаватором-погрузчиком навымет</t>
  </si>
  <si>
    <t>Устройство противосуффозионного экрана из геотекстиля "Дорнит" прочностью не менее 300 г/м2</t>
  </si>
  <si>
    <t>1.1.1</t>
  </si>
  <si>
    <t>1.1.2</t>
  </si>
  <si>
    <t>1.2.1</t>
  </si>
  <si>
    <t>1.2.2</t>
  </si>
  <si>
    <t>1.3.1</t>
  </si>
  <si>
    <t>1.3.2</t>
  </si>
  <si>
    <t>1.3.3</t>
  </si>
  <si>
    <t>1.3.4</t>
  </si>
  <si>
    <t>1.3.5</t>
  </si>
  <si>
    <t>2.1.1</t>
  </si>
  <si>
    <t>2.1.2</t>
  </si>
  <si>
    <t>2.1.3</t>
  </si>
  <si>
    <t>2.1.4</t>
  </si>
  <si>
    <t>2.2.1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</si>
  <si>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</si>
  <si>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</si>
  <si>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</si>
  <si>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</si>
  <si>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</si>
  <si>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</si>
  <si>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</si>
  <si>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</si>
  <si>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3.1.1</t>
  </si>
  <si>
    <t>3.1.2</t>
  </si>
  <si>
    <t>3.1.3</t>
  </si>
  <si>
    <t>3.1.4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</si>
  <si>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</si>
  <si>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</si>
  <si>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</si>
  <si>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</si>
  <si>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</si>
  <si>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</si>
  <si>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</si>
  <si>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</si>
  <si>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</si>
  <si>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4.1.1</t>
  </si>
  <si>
    <t>4.1.2</t>
  </si>
  <si>
    <t>4.1.3</t>
  </si>
  <si>
    <t>4.1.4</t>
  </si>
  <si>
    <t>4.2.1</t>
  </si>
  <si>
    <t>4.2.2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</si>
  <si>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</si>
  <si>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</si>
  <si>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</si>
  <si>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</si>
  <si>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</si>
  <si>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</si>
  <si>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</si>
  <si>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</si>
  <si>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5.1.1</t>
  </si>
  <si>
    <t>5.1.2</t>
  </si>
  <si>
    <t>5.1.3</t>
  </si>
  <si>
    <t>5.1.4</t>
  </si>
  <si>
    <t>5.2.1</t>
  </si>
  <si>
    <t>5.2.2</t>
  </si>
  <si>
    <t>5.3.1</t>
  </si>
  <si>
    <t>5.3.2</t>
  </si>
  <si>
    <t>5.3.3</t>
  </si>
  <si>
    <t>5.3.4</t>
  </si>
  <si>
    <t>5.3.5</t>
  </si>
  <si>
    <t>5.3.6</t>
  </si>
  <si>
    <t>Устройство песчаной подготовки под матрацы "Рено" и упорные габионы толщиной 0,20 м</t>
  </si>
  <si>
    <t>Установка упорного габиона коробчатого типа. Размер упора 1,0х1,0х2,0 м</t>
  </si>
  <si>
    <t>Укладка габионных конструкций - матрацев "Рено" с установкой соединительных анкеров через 1м  в шахматном порядке, толщина 0,17 м:</t>
  </si>
  <si>
    <t xml:space="preserve">    размер 3,0х2,0х0,17 м</t>
  </si>
  <si>
    <t>шт / м</t>
  </si>
  <si>
    <t>50 / 100</t>
  </si>
  <si>
    <t xml:space="preserve">    размер 4,0х2,0х0,17 м</t>
  </si>
  <si>
    <t xml:space="preserve">   анкера соединительные для матрацев "Рено" длиной 0,5м и диаметром 8-10 мм</t>
  </si>
  <si>
    <t>Заполнение контейнеров матрацев "Рено" и упорных габионов каменными материалами</t>
  </si>
  <si>
    <r>
      <rPr>
        <b/>
        <u/>
        <sz val="12"/>
        <color theme="1"/>
        <rFont val="Times New Roman"/>
        <family val="1"/>
        <charset val="204"/>
      </rPr>
      <t xml:space="preserve">Вариант 6. </t>
    </r>
    <r>
      <rPr>
        <b/>
        <sz val="12"/>
        <color theme="1"/>
        <rFont val="Times New Roman"/>
        <family val="1"/>
        <charset val="204"/>
      </rPr>
      <t xml:space="preserve">Укрепление откосов насыпи автомобильной дороги каменной наброской                                                            при высоте насыпи 4,68м и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протяженности участка 100 пм</t>
    </r>
  </si>
  <si>
    <t>6.1.1</t>
  </si>
  <si>
    <t>6.1.2</t>
  </si>
  <si>
    <t>6.1.3</t>
  </si>
  <si>
    <t>6.1.4</t>
  </si>
  <si>
    <t>6.2.1</t>
  </si>
  <si>
    <t>6.2.2</t>
  </si>
  <si>
    <t>6.3.1</t>
  </si>
  <si>
    <t>6.3.2</t>
  </si>
  <si>
    <t>6.3.3</t>
  </si>
  <si>
    <t>Устройство каменной наброски по откосу насыпи</t>
  </si>
  <si>
    <t>Укрепление откосов насыпи засевом трав по слою растительного грунта толщиной 0,37 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</si>
</sst>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%"/>
    <numFmt numFmtId="166" formatCode="#,##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6"/>
      <color indexed="12"/>
      <name val="Arial Cyr"/>
      <charset val="204"/>
    </font>
    <font>
      <b/>
      <sz val="18"/>
      <color indexed="12"/>
      <name val="Arial Cyr"/>
      <charset val="204"/>
    </font>
    <font>
      <b/>
      <sz val="16"/>
      <color indexed="10"/>
      <name val="Arial Cyr"/>
      <charset val="204"/>
    </font>
    <font>
      <b/>
      <sz val="16"/>
      <name val="Arial Cyr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2"/>
      <color indexed="12"/>
      <name val="Arial Cyr"/>
      <charset val="204"/>
    </font>
    <font>
      <b/>
      <sz val="16"/>
      <color indexed="61"/>
      <name val="Arial Cyr"/>
      <charset val="204"/>
    </font>
    <font>
      <b/>
      <sz val="18"/>
      <color indexed="13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charset val="1"/>
    </font>
    <font>
      <vertAlign val="superscript"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9" fillId="0" borderId="0"/>
  </cellStyleXfs>
  <cellXfs count="67">
    <xf numFmtId="0" fontId="0" fillId="0" borderId="0" xfId="0"/>
    <xf numFmtId="0" fontId="0" fillId="3" borderId="0" xfId="0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7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9" fillId="3" borderId="0" xfId="0" applyFont="1" applyFill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10" fillId="5" borderId="0" xfId="0" applyFont="1" applyFill="1" applyAlignment="1"/>
    <xf numFmtId="1" fontId="7" fillId="6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165" fontId="4" fillId="7" borderId="4" xfId="1" applyNumberFormat="1" applyFont="1" applyFill="1" applyBorder="1" applyAlignment="1">
      <alignment horizontal="center"/>
    </xf>
    <xf numFmtId="164" fontId="6" fillId="8" borderId="4" xfId="2" applyFont="1" applyFill="1" applyBorder="1" applyAlignment="1">
      <alignment horizontal="center"/>
    </xf>
    <xf numFmtId="0" fontId="13" fillId="10" borderId="1" xfId="3" applyFont="1" applyFill="1" applyBorder="1" applyAlignment="1">
      <alignment horizontal="center" vertical="center"/>
    </xf>
    <xf numFmtId="0" fontId="13" fillId="0" borderId="0" xfId="3" applyFont="1"/>
    <xf numFmtId="0" fontId="13" fillId="0" borderId="1" xfId="3" applyFont="1" applyBorder="1" applyAlignment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center" vertical="center"/>
    </xf>
    <xf numFmtId="3" fontId="13" fillId="0" borderId="1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8" fillId="0" borderId="1" xfId="3" applyFont="1" applyFill="1" applyBorder="1" applyAlignment="1">
      <alignment horizontal="left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13" fillId="10" borderId="1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3" fontId="13" fillId="0" borderId="3" xfId="3" applyNumberFormat="1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 wrapText="1"/>
    </xf>
    <xf numFmtId="3" fontId="13" fillId="0" borderId="2" xfId="3" applyNumberFormat="1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49" fontId="13" fillId="0" borderId="8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3" fontId="13" fillId="0" borderId="8" xfId="3" applyNumberFormat="1" applyFont="1" applyFill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166" fontId="13" fillId="0" borderId="2" xfId="3" applyNumberFormat="1" applyFont="1" applyFill="1" applyBorder="1" applyAlignment="1">
      <alignment horizontal="center" vertical="center" wrapText="1"/>
    </xf>
    <xf numFmtId="3" fontId="18" fillId="0" borderId="1" xfId="3" applyNumberFormat="1" applyFont="1" applyFill="1" applyBorder="1" applyAlignment="1">
      <alignment horizontal="center" vertical="center"/>
    </xf>
    <xf numFmtId="3" fontId="13" fillId="0" borderId="9" xfId="3" applyNumberFormat="1" applyFont="1" applyFill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left" vertical="center" wrapText="1"/>
    </xf>
    <xf numFmtId="0" fontId="18" fillId="0" borderId="12" xfId="3" applyFont="1" applyFill="1" applyBorder="1" applyAlignment="1">
      <alignment horizontal="left" vertical="center" wrapText="1"/>
    </xf>
    <xf numFmtId="0" fontId="13" fillId="0" borderId="13" xfId="3" applyFont="1" applyFill="1" applyBorder="1" applyAlignment="1">
      <alignment horizontal="left" vertical="center" wrapText="1"/>
    </xf>
    <xf numFmtId="3" fontId="13" fillId="0" borderId="14" xfId="3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4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13" fillId="10" borderId="3" xfId="3" applyFont="1" applyFill="1" applyBorder="1" applyAlignment="1">
      <alignment horizontal="center" vertical="center"/>
    </xf>
    <xf numFmtId="0" fontId="13" fillId="10" borderId="2" xfId="3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/>
    <cellStyle name="Обычный 3" xfId="4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24</xdr:row>
      <xdr:rowOff>68580</xdr:rowOff>
    </xdr:from>
    <xdr:to>
      <xdr:col>9</xdr:col>
      <xdr:colOff>274320</xdr:colOff>
      <xdr:row>43</xdr:row>
      <xdr:rowOff>137160</xdr:rowOff>
    </xdr:to>
    <xdr:pic>
      <xdr:nvPicPr>
        <xdr:cNvPr id="114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5715000"/>
          <a:ext cx="5989320" cy="513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7620</xdr:colOff>
      <xdr:row>42</xdr:row>
      <xdr:rowOff>190500</xdr:rowOff>
    </xdr:to>
    <xdr:pic>
      <xdr:nvPicPr>
        <xdr:cNvPr id="114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3220"/>
          <a:ext cx="6553200" cy="392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selection activeCell="C5" sqref="C5"/>
    </sheetView>
  </sheetViews>
  <sheetFormatPr defaultColWidth="9.109375" defaultRowHeight="21" x14ac:dyDescent="0.4"/>
  <cols>
    <col min="1" max="1" width="56.88671875" style="3" customWidth="1"/>
    <col min="2" max="2" width="32.109375" style="2" customWidth="1"/>
    <col min="3" max="3" width="6.44140625" style="3" customWidth="1"/>
    <col min="4" max="4" width="13.5546875" style="1" customWidth="1"/>
    <col min="5" max="5" width="9.109375" style="1"/>
    <col min="6" max="6" width="3.5546875" style="1" customWidth="1"/>
    <col min="7" max="7" width="9.109375" style="1"/>
    <col min="8" max="8" width="37.44140625" style="1" customWidth="1"/>
    <col min="9" max="9" width="10.6640625" style="1" customWidth="1"/>
    <col min="10" max="10" width="9.88671875" style="1" customWidth="1"/>
    <col min="11" max="14" width="9.109375" style="1"/>
    <col min="15" max="15" width="9" style="1" customWidth="1"/>
    <col min="16" max="16" width="18.5546875" style="1" customWidth="1"/>
    <col min="17" max="17" width="9.109375" style="1"/>
    <col min="18" max="18" width="18.6640625" style="1" customWidth="1"/>
    <col min="19" max="19" width="9.109375" style="1"/>
    <col min="20" max="20" width="18.88671875" style="1" customWidth="1"/>
    <col min="21" max="16384" width="9.109375" style="1"/>
  </cols>
  <sheetData>
    <row r="1" spans="1:10" s="7" customFormat="1" ht="20.25" customHeight="1" x14ac:dyDescent="0.4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s="7" customFormat="1" ht="20.25" customHeight="1" x14ac:dyDescent="0.4">
      <c r="A2" s="61" t="s">
        <v>23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7" customFormat="1" ht="20.25" customHeight="1" x14ac:dyDescent="0.4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21.6" thickBot="1" x14ac:dyDescent="0.45"/>
    <row r="5" spans="1:10" ht="21.6" thickBot="1" x14ac:dyDescent="0.45">
      <c r="A5" s="3" t="s">
        <v>8</v>
      </c>
      <c r="B5" s="4">
        <v>28</v>
      </c>
      <c r="D5" s="62" t="s">
        <v>4</v>
      </c>
      <c r="E5" s="62"/>
      <c r="F5" s="62"/>
      <c r="G5" s="62"/>
      <c r="H5" s="62"/>
      <c r="I5" s="62"/>
      <c r="J5" s="62"/>
    </row>
    <row r="6" spans="1:10" ht="9" customHeight="1" thickBot="1" x14ac:dyDescent="0.35">
      <c r="B6" s="1"/>
      <c r="D6" s="8"/>
      <c r="E6" s="8"/>
      <c r="F6" s="8"/>
      <c r="G6" s="8"/>
      <c r="H6" s="8"/>
      <c r="I6" s="8"/>
      <c r="J6" s="8"/>
    </row>
    <row r="7" spans="1:10" ht="21.6" thickBot="1" x14ac:dyDescent="0.45">
      <c r="A7" s="3" t="s">
        <v>9</v>
      </c>
      <c r="B7" s="4">
        <v>1</v>
      </c>
      <c r="D7" s="8"/>
      <c r="E7" s="4"/>
      <c r="F7" s="8"/>
      <c r="G7" s="9" t="s">
        <v>3</v>
      </c>
      <c r="H7" s="8"/>
      <c r="I7" s="8"/>
      <c r="J7" s="8"/>
    </row>
    <row r="8" spans="1:10" ht="9" customHeight="1" thickBot="1" x14ac:dyDescent="0.35">
      <c r="B8" s="1"/>
      <c r="D8" s="8"/>
      <c r="E8" s="8"/>
      <c r="F8" s="8"/>
      <c r="G8" s="8"/>
      <c r="H8" s="8"/>
      <c r="I8" s="8"/>
      <c r="J8" s="8"/>
    </row>
    <row r="9" spans="1:10" ht="21.6" thickBot="1" x14ac:dyDescent="0.45">
      <c r="A9" s="3" t="s">
        <v>6</v>
      </c>
      <c r="B9" s="5" t="s">
        <v>0</v>
      </c>
      <c r="D9" s="8"/>
      <c r="E9" s="15"/>
      <c r="F9" s="8"/>
      <c r="G9" s="9" t="s">
        <v>5</v>
      </c>
      <c r="H9" s="8"/>
      <c r="I9" s="8"/>
      <c r="J9" s="8"/>
    </row>
    <row r="10" spans="1:10" ht="9" customHeight="1" thickBot="1" x14ac:dyDescent="0.35">
      <c r="B10" s="1"/>
      <c r="D10" s="8"/>
      <c r="E10" s="8"/>
      <c r="F10" s="8"/>
      <c r="G10" s="8"/>
      <c r="H10" s="8"/>
      <c r="I10" s="8"/>
      <c r="J10" s="8"/>
    </row>
    <row r="11" spans="1:10" ht="21.6" thickBot="1" x14ac:dyDescent="0.45">
      <c r="A11" s="3" t="s">
        <v>10</v>
      </c>
      <c r="B11" s="15">
        <f>SQRT(B7*8+B7*B9*B7*B9)</f>
        <v>4.1231056256176606</v>
      </c>
      <c r="D11" s="8"/>
      <c r="E11" s="13"/>
      <c r="F11" s="8"/>
      <c r="G11" s="9" t="s">
        <v>24</v>
      </c>
      <c r="H11" s="8"/>
      <c r="I11" s="8"/>
      <c r="J11" s="8"/>
    </row>
    <row r="12" spans="1:10" ht="9" customHeight="1" x14ac:dyDescent="0.4">
      <c r="D12" s="8"/>
      <c r="E12" s="8"/>
      <c r="F12" s="8"/>
      <c r="G12" s="8"/>
      <c r="H12" s="8"/>
      <c r="I12" s="8"/>
      <c r="J12" s="8"/>
    </row>
    <row r="13" spans="1:10" ht="21.6" thickBot="1" x14ac:dyDescent="0.45">
      <c r="A13" s="3" t="s">
        <v>7</v>
      </c>
    </row>
    <row r="14" spans="1:10" ht="21.6" thickBot="1" x14ac:dyDescent="0.45">
      <c r="A14" s="6" t="s">
        <v>27</v>
      </c>
      <c r="B14" s="5" t="s">
        <v>31</v>
      </c>
    </row>
    <row r="15" spans="1:10" ht="21.6" thickBot="1" x14ac:dyDescent="0.45">
      <c r="A15" s="6" t="s">
        <v>14</v>
      </c>
      <c r="B15" s="15">
        <f>INT((B11)/2.8)+1</f>
        <v>2</v>
      </c>
    </row>
    <row r="16" spans="1:10" ht="21.6" thickBot="1" x14ac:dyDescent="0.45">
      <c r="A16" s="6" t="s">
        <v>15</v>
      </c>
      <c r="B16" s="15">
        <f>INT((B5)/1.25)+1</f>
        <v>23</v>
      </c>
      <c r="D16" s="10"/>
      <c r="E16" s="10"/>
      <c r="F16" s="10"/>
      <c r="G16" s="10"/>
      <c r="H16" s="10"/>
      <c r="I16" s="10"/>
      <c r="J16" s="10"/>
    </row>
    <row r="17" spans="1:10" ht="21.6" thickBot="1" x14ac:dyDescent="0.45">
      <c r="A17" s="6" t="s">
        <v>25</v>
      </c>
      <c r="B17" s="14"/>
      <c r="D17" s="58" t="s">
        <v>16</v>
      </c>
      <c r="E17" s="58"/>
      <c r="F17" s="58"/>
      <c r="G17" s="58"/>
      <c r="H17" s="58"/>
      <c r="I17" s="11"/>
      <c r="J17" s="10"/>
    </row>
    <row r="18" spans="1:10" ht="21.6" thickBot="1" x14ac:dyDescent="0.45">
      <c r="A18" s="6" t="s">
        <v>11</v>
      </c>
      <c r="B18" s="15">
        <f>INT(B15*B16*(1+B17))</f>
        <v>46</v>
      </c>
      <c r="D18" s="59" t="s">
        <v>12</v>
      </c>
      <c r="E18" s="58"/>
      <c r="F18" s="58"/>
      <c r="G18" s="58"/>
      <c r="H18" s="58"/>
      <c r="I18" s="12">
        <f>ROUND(B18*12/50/8,0)</f>
        <v>1</v>
      </c>
      <c r="J18" s="10"/>
    </row>
    <row r="19" spans="1:10" ht="9" customHeight="1" x14ac:dyDescent="0.4">
      <c r="D19" s="10"/>
      <c r="E19" s="10"/>
      <c r="F19" s="10"/>
      <c r="G19" s="10"/>
      <c r="H19" s="10"/>
      <c r="I19" s="10"/>
      <c r="J19" s="10"/>
    </row>
    <row r="20" spans="1:10" ht="16.2" thickBot="1" x14ac:dyDescent="0.35">
      <c r="A20" s="3" t="s">
        <v>17</v>
      </c>
      <c r="B20" s="1"/>
    </row>
    <row r="21" spans="1:10" ht="21.6" thickBot="1" x14ac:dyDescent="0.45">
      <c r="A21" s="6" t="s">
        <v>18</v>
      </c>
      <c r="B21" s="15" t="e">
        <f>#REF!</f>
        <v>#REF!</v>
      </c>
      <c r="C21" s="1"/>
      <c r="D21" s="10"/>
      <c r="E21" s="10"/>
      <c r="F21" s="10"/>
      <c r="G21" s="10"/>
      <c r="H21" s="10"/>
      <c r="I21" s="10"/>
      <c r="J21" s="10"/>
    </row>
    <row r="22" spans="1:10" ht="21.6" thickBot="1" x14ac:dyDescent="0.45">
      <c r="A22" s="3" t="s">
        <v>2</v>
      </c>
      <c r="B22" s="5" t="s">
        <v>30</v>
      </c>
      <c r="D22" s="58" t="s">
        <v>16</v>
      </c>
      <c r="E22" s="58"/>
      <c r="F22" s="58"/>
      <c r="G22" s="58"/>
      <c r="H22" s="58"/>
      <c r="I22" s="11"/>
      <c r="J22" s="10"/>
    </row>
    <row r="23" spans="1:10" ht="21.6" thickBot="1" x14ac:dyDescent="0.45">
      <c r="A23" s="3" t="s">
        <v>20</v>
      </c>
      <c r="B23" s="14">
        <v>0.02</v>
      </c>
      <c r="D23" s="59" t="s">
        <v>13</v>
      </c>
      <c r="E23" s="58"/>
      <c r="F23" s="58"/>
      <c r="G23" s="58"/>
      <c r="H23" s="58"/>
      <c r="I23" s="12">
        <f>INT(I18/13*8)</f>
        <v>0</v>
      </c>
      <c r="J23" s="10"/>
    </row>
    <row r="24" spans="1:10" ht="21.6" thickBot="1" x14ac:dyDescent="0.45">
      <c r="A24" s="3" t="s">
        <v>22</v>
      </c>
      <c r="B24" s="14">
        <v>4.5999999999999999E-2</v>
      </c>
      <c r="D24" s="10"/>
      <c r="E24" s="10"/>
      <c r="F24" s="10"/>
      <c r="G24" s="10"/>
      <c r="H24" s="10"/>
      <c r="I24" s="10"/>
      <c r="J24" s="10"/>
    </row>
    <row r="25" spans="1:10" ht="21.6" thickBot="1" x14ac:dyDescent="0.45">
      <c r="A25" s="3" t="s">
        <v>21</v>
      </c>
      <c r="B25" s="14">
        <v>0.2</v>
      </c>
    </row>
    <row r="26" spans="1:10" ht="21.6" thickBot="1" x14ac:dyDescent="0.45">
      <c r="A26" s="6" t="s">
        <v>19</v>
      </c>
      <c r="B26" s="15" t="e">
        <f>B21*B22*(1+B23)*(1+B25)*(1+B24)</f>
        <v>#REF!</v>
      </c>
      <c r="C26" s="1"/>
    </row>
    <row r="28" spans="1:10" ht="20.25" customHeight="1" x14ac:dyDescent="0.3">
      <c r="A28" s="55" t="s">
        <v>29</v>
      </c>
      <c r="B28" s="56"/>
      <c r="C28" s="57"/>
    </row>
  </sheetData>
  <mergeCells count="9">
    <mergeCell ref="A28:C28"/>
    <mergeCell ref="D22:H22"/>
    <mergeCell ref="D23:H23"/>
    <mergeCell ref="A1:J1"/>
    <mergeCell ref="A3:J3"/>
    <mergeCell ref="A2:J2"/>
    <mergeCell ref="D5:J5"/>
    <mergeCell ref="D18:H18"/>
    <mergeCell ref="D17:H17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view="pageBreakPreview" zoomScaleNormal="100" zoomScaleSheetLayoutView="100" workbookViewId="0">
      <selection activeCell="J7" sqref="J7"/>
    </sheetView>
  </sheetViews>
  <sheetFormatPr defaultRowHeight="15.6" x14ac:dyDescent="0.3"/>
  <cols>
    <col min="1" max="1" width="1" style="17" customWidth="1"/>
    <col min="2" max="2" width="7.77734375" style="23" customWidth="1"/>
    <col min="3" max="3" width="40.7773437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2" spans="2:6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x14ac:dyDescent="0.3">
      <c r="B3" s="66"/>
      <c r="C3" s="66"/>
      <c r="D3" s="66"/>
      <c r="E3" s="66"/>
      <c r="F3" s="66"/>
    </row>
    <row r="4" spans="2:6" x14ac:dyDescent="0.3">
      <c r="B4" s="16">
        <v>1</v>
      </c>
      <c r="C4" s="16">
        <v>2</v>
      </c>
      <c r="D4" s="16">
        <v>3</v>
      </c>
      <c r="E4" s="16">
        <v>4</v>
      </c>
      <c r="F4" s="16">
        <v>5</v>
      </c>
    </row>
    <row r="5" spans="2:6" ht="52.8" customHeight="1" x14ac:dyDescent="0.3">
      <c r="B5" s="63" t="s">
        <v>57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9.2" customHeight="1" x14ac:dyDescent="0.3">
      <c r="B7" s="19" t="s">
        <v>77</v>
      </c>
      <c r="C7" s="20" t="s">
        <v>45</v>
      </c>
      <c r="D7" s="28" t="s">
        <v>38</v>
      </c>
      <c r="E7" s="22">
        <f>0.9*0.2*100</f>
        <v>18.000000000000004</v>
      </c>
      <c r="F7" s="26"/>
    </row>
    <row r="8" spans="2:6" ht="46.2" customHeight="1" x14ac:dyDescent="0.3">
      <c r="B8" s="19" t="s">
        <v>78</v>
      </c>
      <c r="C8" s="20" t="s">
        <v>46</v>
      </c>
      <c r="D8" s="21" t="s">
        <v>38</v>
      </c>
      <c r="E8" s="22">
        <f>E7</f>
        <v>18.000000000000004</v>
      </c>
      <c r="F8" s="21"/>
    </row>
    <row r="9" spans="2:6" x14ac:dyDescent="0.3">
      <c r="B9" s="64" t="s">
        <v>39</v>
      </c>
      <c r="C9" s="64"/>
      <c r="D9" s="64"/>
      <c r="E9" s="64"/>
      <c r="F9" s="64"/>
    </row>
    <row r="10" spans="2:6" ht="31.2" x14ac:dyDescent="0.3">
      <c r="B10" s="19" t="s">
        <v>79</v>
      </c>
      <c r="C10" s="20" t="s">
        <v>47</v>
      </c>
      <c r="D10" s="29" t="s">
        <v>44</v>
      </c>
      <c r="E10" s="22">
        <f>(2.8*3+1.3+0.6+0.5)*100</f>
        <v>1080</v>
      </c>
      <c r="F10" s="18"/>
    </row>
    <row r="11" spans="2:6" ht="31.2" x14ac:dyDescent="0.3">
      <c r="B11" s="19" t="s">
        <v>80</v>
      </c>
      <c r="C11" s="20" t="s">
        <v>40</v>
      </c>
      <c r="D11" s="28" t="s">
        <v>38</v>
      </c>
      <c r="E11" s="25">
        <f>(E10-3.3*100)*0.4</f>
        <v>300</v>
      </c>
      <c r="F11" s="18"/>
    </row>
    <row r="12" spans="2:6" x14ac:dyDescent="0.3">
      <c r="B12" s="64" t="s">
        <v>41</v>
      </c>
      <c r="C12" s="64"/>
      <c r="D12" s="64"/>
      <c r="E12" s="64"/>
      <c r="F12" s="64"/>
    </row>
    <row r="13" spans="2:6" ht="47.4" customHeight="1" x14ac:dyDescent="0.3">
      <c r="B13" s="30" t="s">
        <v>81</v>
      </c>
      <c r="C13" s="31" t="s">
        <v>48</v>
      </c>
      <c r="D13" s="32"/>
      <c r="E13" s="33"/>
      <c r="F13" s="34"/>
    </row>
    <row r="14" spans="2:6" ht="18.600000000000001" x14ac:dyDescent="0.3">
      <c r="B14" s="39"/>
      <c r="C14" s="40"/>
      <c r="D14" s="41" t="s">
        <v>44</v>
      </c>
      <c r="E14" s="43">
        <f>(2.8+0.5)*100</f>
        <v>330</v>
      </c>
      <c r="F14" s="44"/>
    </row>
    <row r="15" spans="2:6" ht="18.600000000000001" x14ac:dyDescent="0.3">
      <c r="B15" s="35"/>
      <c r="C15" s="36"/>
      <c r="D15" s="42" t="s">
        <v>38</v>
      </c>
      <c r="E15" s="37">
        <f>E14*0.15*1.05</f>
        <v>51.975000000000001</v>
      </c>
      <c r="F15" s="38"/>
    </row>
    <row r="16" spans="2:6" ht="47.4" customHeight="1" x14ac:dyDescent="0.3">
      <c r="B16" s="30" t="s">
        <v>82</v>
      </c>
      <c r="C16" s="31" t="s">
        <v>76</v>
      </c>
      <c r="D16" s="32" t="s">
        <v>44</v>
      </c>
      <c r="E16" s="33">
        <f>E19*3.5</f>
        <v>840</v>
      </c>
      <c r="F16" s="34"/>
    </row>
    <row r="17" spans="2:6" ht="18.600000000000001" x14ac:dyDescent="0.3">
      <c r="B17" s="35"/>
      <c r="C17" s="36" t="s">
        <v>42</v>
      </c>
      <c r="D17" s="45" t="s">
        <v>44</v>
      </c>
      <c r="E17" s="37">
        <f>E16*1.2</f>
        <v>1008</v>
      </c>
      <c r="F17" s="38"/>
    </row>
    <row r="18" spans="2:6" ht="93" customHeight="1" x14ac:dyDescent="0.3">
      <c r="B18" s="30" t="s">
        <v>83</v>
      </c>
      <c r="C18" s="31" t="s">
        <v>58</v>
      </c>
      <c r="D18" s="46"/>
      <c r="E18" s="33"/>
      <c r="F18" s="46"/>
    </row>
    <row r="19" spans="2:6" x14ac:dyDescent="0.3">
      <c r="B19" s="39"/>
      <c r="C19" s="40"/>
      <c r="D19" s="41" t="s">
        <v>1</v>
      </c>
      <c r="E19" s="43">
        <v>240</v>
      </c>
      <c r="F19" s="44"/>
    </row>
    <row r="20" spans="2:6" ht="18.600000000000001" x14ac:dyDescent="0.3">
      <c r="B20" s="35"/>
      <c r="C20" s="36"/>
      <c r="D20" s="42" t="s">
        <v>38</v>
      </c>
      <c r="E20" s="47">
        <f>E19*0.34</f>
        <v>81.600000000000009</v>
      </c>
      <c r="F20" s="38"/>
    </row>
    <row r="21" spans="2:6" ht="63" customHeight="1" x14ac:dyDescent="0.3">
      <c r="B21" s="19" t="s">
        <v>84</v>
      </c>
      <c r="C21" s="20" t="s">
        <v>43</v>
      </c>
      <c r="D21" s="21" t="s">
        <v>1</v>
      </c>
      <c r="E21" s="22">
        <v>93</v>
      </c>
      <c r="F21" s="21"/>
    </row>
    <row r="22" spans="2:6" ht="46.8" x14ac:dyDescent="0.3">
      <c r="B22" s="19" t="s">
        <v>85</v>
      </c>
      <c r="C22" s="24" t="s">
        <v>59</v>
      </c>
      <c r="D22" s="21" t="s">
        <v>38</v>
      </c>
      <c r="E22" s="22">
        <f>E19*0.07*1.05</f>
        <v>17.64</v>
      </c>
      <c r="F22" s="21"/>
    </row>
  </sheetData>
  <mergeCells count="9">
    <mergeCell ref="B5:F5"/>
    <mergeCell ref="B6:F6"/>
    <mergeCell ref="B9:F9"/>
    <mergeCell ref="B12:F12"/>
    <mergeCell ref="B2:B3"/>
    <mergeCell ref="C2:C3"/>
    <mergeCell ref="D2:D3"/>
    <mergeCell ref="E2:E3"/>
    <mergeCell ref="F2:F3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view="pageBreakPreview" topLeftCell="A22" zoomScaleNormal="100" zoomScaleSheetLayoutView="100" workbookViewId="0">
      <selection activeCell="B27" sqref="B27"/>
    </sheetView>
  </sheetViews>
  <sheetFormatPr defaultRowHeight="15.6" x14ac:dyDescent="0.3"/>
  <cols>
    <col min="1" max="1" width="1" style="17" customWidth="1"/>
    <col min="2" max="2" width="7.21875" style="23" customWidth="1"/>
    <col min="3" max="3" width="41.3320312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1" spans="2:6" ht="7.8" customHeight="1" x14ac:dyDescent="0.3"/>
    <row r="2" spans="2:6" ht="11.4" customHeight="1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ht="10.8" customHeight="1" x14ac:dyDescent="0.3">
      <c r="B3" s="66"/>
      <c r="C3" s="66"/>
      <c r="D3" s="66"/>
      <c r="E3" s="66"/>
      <c r="F3" s="66"/>
    </row>
    <row r="4" spans="2:6" x14ac:dyDescent="0.3">
      <c r="B4" s="27">
        <v>1</v>
      </c>
      <c r="C4" s="27">
        <v>2</v>
      </c>
      <c r="D4" s="27">
        <v>3</v>
      </c>
      <c r="E4" s="27">
        <v>4</v>
      </c>
      <c r="F4" s="27">
        <v>5</v>
      </c>
    </row>
    <row r="5" spans="2:6" ht="46.8" customHeight="1" x14ac:dyDescent="0.3">
      <c r="B5" s="63" t="s">
        <v>64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8" customHeight="1" x14ac:dyDescent="0.3">
      <c r="B7" s="19" t="s">
        <v>86</v>
      </c>
      <c r="C7" s="20" t="s">
        <v>55</v>
      </c>
      <c r="D7" s="28" t="s">
        <v>38</v>
      </c>
      <c r="E7" s="48">
        <v>47</v>
      </c>
      <c r="F7" s="26"/>
    </row>
    <row r="8" spans="2:6" ht="49.2" customHeight="1" x14ac:dyDescent="0.3">
      <c r="B8" s="19" t="s">
        <v>87</v>
      </c>
      <c r="C8" s="20" t="s">
        <v>50</v>
      </c>
      <c r="D8" s="21" t="s">
        <v>38</v>
      </c>
      <c r="E8" s="48">
        <v>5</v>
      </c>
      <c r="F8" s="21"/>
    </row>
    <row r="9" spans="2:6" ht="31.8" customHeight="1" x14ac:dyDescent="0.3">
      <c r="B9" s="19" t="s">
        <v>88</v>
      </c>
      <c r="C9" s="20" t="s">
        <v>51</v>
      </c>
      <c r="D9" s="21" t="s">
        <v>38</v>
      </c>
      <c r="E9" s="48">
        <v>5</v>
      </c>
      <c r="F9" s="21"/>
    </row>
    <row r="10" spans="2:6" ht="46.2" customHeight="1" x14ac:dyDescent="0.3">
      <c r="B10" s="19" t="s">
        <v>89</v>
      </c>
      <c r="C10" s="20" t="s">
        <v>49</v>
      </c>
      <c r="D10" s="21" t="s">
        <v>38</v>
      </c>
      <c r="E10" s="48">
        <v>47</v>
      </c>
      <c r="F10" s="21"/>
    </row>
    <row r="11" spans="2:6" x14ac:dyDescent="0.3">
      <c r="B11" s="64" t="s">
        <v>39</v>
      </c>
      <c r="C11" s="64"/>
      <c r="D11" s="64"/>
      <c r="E11" s="64"/>
      <c r="F11" s="64"/>
    </row>
    <row r="12" spans="2:6" ht="31.2" x14ac:dyDescent="0.3">
      <c r="B12" s="19" t="s">
        <v>90</v>
      </c>
      <c r="C12" s="20" t="s">
        <v>47</v>
      </c>
      <c r="D12" s="29" t="s">
        <v>44</v>
      </c>
      <c r="E12" s="22">
        <f>(2.8+7+0.5)*100</f>
        <v>1030</v>
      </c>
      <c r="F12" s="18"/>
    </row>
    <row r="13" spans="2:6" ht="31.2" x14ac:dyDescent="0.3">
      <c r="B13" s="19" t="s">
        <v>91</v>
      </c>
      <c r="C13" s="20" t="s">
        <v>40</v>
      </c>
      <c r="D13" s="28" t="s">
        <v>38</v>
      </c>
      <c r="E13" s="25">
        <f>7*100*0.4</f>
        <v>280</v>
      </c>
      <c r="F13" s="18"/>
    </row>
    <row r="14" spans="2:6" x14ac:dyDescent="0.3">
      <c r="B14" s="64" t="s">
        <v>41</v>
      </c>
      <c r="C14" s="64"/>
      <c r="D14" s="64"/>
      <c r="E14" s="64"/>
      <c r="F14" s="64"/>
    </row>
    <row r="15" spans="2:6" ht="47.4" customHeight="1" x14ac:dyDescent="0.3">
      <c r="B15" s="30" t="s">
        <v>92</v>
      </c>
      <c r="C15" s="31" t="s">
        <v>52</v>
      </c>
      <c r="D15" s="32"/>
      <c r="E15" s="33"/>
      <c r="F15" s="34"/>
    </row>
    <row r="16" spans="2:6" ht="18.600000000000001" x14ac:dyDescent="0.3">
      <c r="B16" s="39"/>
      <c r="C16" s="40"/>
      <c r="D16" s="41" t="s">
        <v>44</v>
      </c>
      <c r="E16" s="43">
        <f>(2.8+0.5)*100</f>
        <v>330</v>
      </c>
      <c r="F16" s="44"/>
    </row>
    <row r="17" spans="2:6" ht="18.600000000000001" x14ac:dyDescent="0.3">
      <c r="B17" s="35"/>
      <c r="C17" s="36"/>
      <c r="D17" s="42" t="s">
        <v>38</v>
      </c>
      <c r="E17" s="37">
        <f>E16*0.31*1.05</f>
        <v>107.41500000000001</v>
      </c>
      <c r="F17" s="38"/>
    </row>
    <row r="18" spans="2:6" ht="47.4" customHeight="1" x14ac:dyDescent="0.3">
      <c r="B18" s="30" t="s">
        <v>93</v>
      </c>
      <c r="C18" s="31" t="s">
        <v>53</v>
      </c>
      <c r="D18" s="32" t="s">
        <v>44</v>
      </c>
      <c r="E18" s="33">
        <v>810</v>
      </c>
      <c r="F18" s="34"/>
    </row>
    <row r="19" spans="2:6" ht="18.600000000000001" x14ac:dyDescent="0.3">
      <c r="B19" s="35"/>
      <c r="C19" s="36" t="s">
        <v>42</v>
      </c>
      <c r="D19" s="45" t="s">
        <v>44</v>
      </c>
      <c r="E19" s="37">
        <f>E18*1.2</f>
        <v>972</v>
      </c>
      <c r="F19" s="38"/>
    </row>
    <row r="20" spans="2:6" ht="46.8" x14ac:dyDescent="0.3">
      <c r="B20" s="19" t="s">
        <v>94</v>
      </c>
      <c r="C20" s="24" t="s">
        <v>54</v>
      </c>
      <c r="D20" s="21" t="s">
        <v>38</v>
      </c>
      <c r="E20" s="22">
        <f>0.8*0.1*100</f>
        <v>8.0000000000000018</v>
      </c>
      <c r="F20" s="21"/>
    </row>
    <row r="21" spans="2:6" ht="47.4" customHeight="1" x14ac:dyDescent="0.3">
      <c r="B21" s="30" t="s">
        <v>95</v>
      </c>
      <c r="C21" s="31" t="s">
        <v>60</v>
      </c>
      <c r="D21" s="32"/>
      <c r="E21" s="33"/>
      <c r="F21" s="34"/>
    </row>
    <row r="22" spans="2:6" x14ac:dyDescent="0.3">
      <c r="B22" s="39"/>
      <c r="C22" s="40"/>
      <c r="D22" s="41" t="s">
        <v>56</v>
      </c>
      <c r="E22" s="43">
        <v>100</v>
      </c>
      <c r="F22" s="44"/>
    </row>
    <row r="23" spans="2:6" ht="18.600000000000001" x14ac:dyDescent="0.3">
      <c r="B23" s="35"/>
      <c r="C23" s="36"/>
      <c r="D23" s="42" t="s">
        <v>38</v>
      </c>
      <c r="E23" s="37">
        <f>E22/2*0.4</f>
        <v>20</v>
      </c>
      <c r="F23" s="38"/>
    </row>
    <row r="24" spans="2:6" ht="31.2" x14ac:dyDescent="0.3">
      <c r="B24" s="19" t="s">
        <v>96</v>
      </c>
      <c r="C24" s="24" t="s">
        <v>61</v>
      </c>
      <c r="D24" s="21" t="s">
        <v>38</v>
      </c>
      <c r="E24" s="22">
        <f>2*(0.31+0.66)/2*0.35*100</f>
        <v>33.949999999999996</v>
      </c>
      <c r="F24" s="21"/>
    </row>
    <row r="25" spans="2:6" ht="46.8" x14ac:dyDescent="0.3">
      <c r="B25" s="19" t="s">
        <v>97</v>
      </c>
      <c r="C25" s="24" t="s">
        <v>62</v>
      </c>
      <c r="D25" s="21" t="s">
        <v>38</v>
      </c>
      <c r="E25" s="22">
        <f>7*0.15*100</f>
        <v>105</v>
      </c>
      <c r="F25" s="21"/>
    </row>
    <row r="26" spans="2:6" ht="66" customHeight="1" x14ac:dyDescent="0.3">
      <c r="B26" s="30" t="s">
        <v>98</v>
      </c>
      <c r="C26" s="31" t="s">
        <v>63</v>
      </c>
      <c r="D26" s="46"/>
      <c r="E26" s="33"/>
      <c r="F26" s="46"/>
    </row>
    <row r="27" spans="2:6" x14ac:dyDescent="0.3">
      <c r="B27" s="39"/>
      <c r="C27" s="40"/>
      <c r="D27" s="41" t="s">
        <v>1</v>
      </c>
      <c r="E27" s="43">
        <v>700</v>
      </c>
      <c r="F27" s="44"/>
    </row>
    <row r="28" spans="2:6" ht="18.600000000000001" x14ac:dyDescent="0.3">
      <c r="B28" s="35"/>
      <c r="C28" s="36"/>
      <c r="D28" s="42" t="s">
        <v>38</v>
      </c>
      <c r="E28" s="37">
        <f>E27*0.16</f>
        <v>112</v>
      </c>
      <c r="F28" s="38"/>
    </row>
  </sheetData>
  <mergeCells count="9">
    <mergeCell ref="B6:F6"/>
    <mergeCell ref="B11:F11"/>
    <mergeCell ref="B14:F14"/>
    <mergeCell ref="B2:B3"/>
    <mergeCell ref="C2:C3"/>
    <mergeCell ref="D2:D3"/>
    <mergeCell ref="E2:E3"/>
    <mergeCell ref="F2:F3"/>
    <mergeCell ref="B5:F5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view="pageBreakPreview" topLeftCell="A20" zoomScaleNormal="100" zoomScaleSheetLayoutView="100" workbookViewId="0">
      <selection activeCell="C30" sqref="C30"/>
    </sheetView>
  </sheetViews>
  <sheetFormatPr defaultRowHeight="15.6" x14ac:dyDescent="0.3"/>
  <cols>
    <col min="1" max="1" width="1" style="17" customWidth="1"/>
    <col min="2" max="2" width="7.21875" style="23" customWidth="1"/>
    <col min="3" max="3" width="41.3320312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1" spans="2:6" ht="7.8" customHeight="1" x14ac:dyDescent="0.3"/>
    <row r="2" spans="2:6" ht="11.4" customHeight="1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ht="10.8" customHeight="1" x14ac:dyDescent="0.3">
      <c r="B3" s="66"/>
      <c r="C3" s="66"/>
      <c r="D3" s="66"/>
      <c r="E3" s="66"/>
      <c r="F3" s="66"/>
    </row>
    <row r="4" spans="2:6" x14ac:dyDescent="0.3">
      <c r="B4" s="27">
        <v>1</v>
      </c>
      <c r="C4" s="27">
        <v>2</v>
      </c>
      <c r="D4" s="27">
        <v>3</v>
      </c>
      <c r="E4" s="27">
        <v>4</v>
      </c>
      <c r="F4" s="27">
        <v>5</v>
      </c>
    </row>
    <row r="5" spans="2:6" ht="52.2" customHeight="1" x14ac:dyDescent="0.3">
      <c r="B5" s="63" t="s">
        <v>65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8" customHeight="1" x14ac:dyDescent="0.3">
      <c r="B7" s="19" t="s">
        <v>99</v>
      </c>
      <c r="C7" s="20" t="s">
        <v>55</v>
      </c>
      <c r="D7" s="28" t="s">
        <v>38</v>
      </c>
      <c r="E7" s="48">
        <v>47</v>
      </c>
      <c r="F7" s="26"/>
    </row>
    <row r="8" spans="2:6" ht="49.2" customHeight="1" x14ac:dyDescent="0.3">
      <c r="B8" s="19" t="s">
        <v>100</v>
      </c>
      <c r="C8" s="20" t="s">
        <v>50</v>
      </c>
      <c r="D8" s="21" t="s">
        <v>38</v>
      </c>
      <c r="E8" s="48">
        <v>5</v>
      </c>
      <c r="F8" s="21"/>
    </row>
    <row r="9" spans="2:6" ht="31.8" customHeight="1" x14ac:dyDescent="0.3">
      <c r="B9" s="19" t="s">
        <v>101</v>
      </c>
      <c r="C9" s="20" t="s">
        <v>51</v>
      </c>
      <c r="D9" s="21" t="s">
        <v>38</v>
      </c>
      <c r="E9" s="48">
        <v>5</v>
      </c>
      <c r="F9" s="21"/>
    </row>
    <row r="10" spans="2:6" ht="46.2" customHeight="1" x14ac:dyDescent="0.3">
      <c r="B10" s="19" t="s">
        <v>102</v>
      </c>
      <c r="C10" s="20" t="s">
        <v>49</v>
      </c>
      <c r="D10" s="21" t="s">
        <v>38</v>
      </c>
      <c r="E10" s="48">
        <v>47</v>
      </c>
      <c r="F10" s="21"/>
    </row>
    <row r="11" spans="2:6" x14ac:dyDescent="0.3">
      <c r="B11" s="64" t="s">
        <v>39</v>
      </c>
      <c r="C11" s="64"/>
      <c r="D11" s="64"/>
      <c r="E11" s="64"/>
      <c r="F11" s="64"/>
    </row>
    <row r="12" spans="2:6" ht="31.2" x14ac:dyDescent="0.3">
      <c r="B12" s="19" t="s">
        <v>103</v>
      </c>
      <c r="C12" s="20" t="s">
        <v>47</v>
      </c>
      <c r="D12" s="29" t="s">
        <v>44</v>
      </c>
      <c r="E12" s="22">
        <f>(2.8+7+0.5)*100</f>
        <v>1030</v>
      </c>
      <c r="F12" s="18"/>
    </row>
    <row r="13" spans="2:6" ht="31.2" x14ac:dyDescent="0.3">
      <c r="B13" s="19" t="s">
        <v>104</v>
      </c>
      <c r="C13" s="20" t="s">
        <v>40</v>
      </c>
      <c r="D13" s="28" t="s">
        <v>38</v>
      </c>
      <c r="E13" s="25">
        <f>7*100*0.4</f>
        <v>280</v>
      </c>
      <c r="F13" s="18"/>
    </row>
    <row r="14" spans="2:6" x14ac:dyDescent="0.3">
      <c r="B14" s="64" t="s">
        <v>41</v>
      </c>
      <c r="C14" s="64"/>
      <c r="D14" s="64"/>
      <c r="E14" s="64"/>
      <c r="F14" s="64"/>
    </row>
    <row r="15" spans="2:6" ht="47.4" customHeight="1" x14ac:dyDescent="0.3">
      <c r="B15" s="30" t="s">
        <v>105</v>
      </c>
      <c r="C15" s="31" t="s">
        <v>52</v>
      </c>
      <c r="D15" s="32"/>
      <c r="E15" s="33"/>
      <c r="F15" s="34"/>
    </row>
    <row r="16" spans="2:6" ht="18.600000000000001" x14ac:dyDescent="0.3">
      <c r="B16" s="39"/>
      <c r="C16" s="40"/>
      <c r="D16" s="41" t="s">
        <v>44</v>
      </c>
      <c r="E16" s="43">
        <f>(2.8+0.5)*100</f>
        <v>330</v>
      </c>
      <c r="F16" s="44"/>
    </row>
    <row r="17" spans="2:6" ht="18.600000000000001" x14ac:dyDescent="0.3">
      <c r="B17" s="35"/>
      <c r="C17" s="36"/>
      <c r="D17" s="42" t="s">
        <v>38</v>
      </c>
      <c r="E17" s="37">
        <f>E16*0.31*1.05</f>
        <v>107.41500000000001</v>
      </c>
      <c r="F17" s="38"/>
    </row>
    <row r="18" spans="2:6" ht="47.4" customHeight="1" x14ac:dyDescent="0.3">
      <c r="B18" s="30" t="s">
        <v>106</v>
      </c>
      <c r="C18" s="31" t="s">
        <v>53</v>
      </c>
      <c r="D18" s="32" t="s">
        <v>44</v>
      </c>
      <c r="E18" s="33">
        <v>810</v>
      </c>
      <c r="F18" s="34"/>
    </row>
    <row r="19" spans="2:6" ht="18.600000000000001" x14ac:dyDescent="0.3">
      <c r="B19" s="35"/>
      <c r="C19" s="36" t="s">
        <v>42</v>
      </c>
      <c r="D19" s="45" t="s">
        <v>44</v>
      </c>
      <c r="E19" s="37">
        <f>E18*1.2</f>
        <v>972</v>
      </c>
      <c r="F19" s="38"/>
    </row>
    <row r="20" spans="2:6" ht="46.8" x14ac:dyDescent="0.3">
      <c r="B20" s="19" t="s">
        <v>107</v>
      </c>
      <c r="C20" s="24" t="s">
        <v>54</v>
      </c>
      <c r="D20" s="21" t="s">
        <v>38</v>
      </c>
      <c r="E20" s="22">
        <f>0.8*0.1*100</f>
        <v>8.0000000000000018</v>
      </c>
      <c r="F20" s="21"/>
    </row>
    <row r="21" spans="2:6" ht="35.4" customHeight="1" x14ac:dyDescent="0.3">
      <c r="B21" s="30" t="s">
        <v>108</v>
      </c>
      <c r="C21" s="31" t="s">
        <v>66</v>
      </c>
      <c r="D21" s="32"/>
      <c r="E21" s="33"/>
      <c r="F21" s="34"/>
    </row>
    <row r="22" spans="2:6" x14ac:dyDescent="0.3">
      <c r="B22" s="39"/>
      <c r="C22" s="40"/>
      <c r="D22" s="41" t="s">
        <v>56</v>
      </c>
      <c r="E22" s="43">
        <v>100</v>
      </c>
      <c r="F22" s="44"/>
    </row>
    <row r="23" spans="2:6" ht="18.600000000000001" x14ac:dyDescent="0.3">
      <c r="B23" s="35"/>
      <c r="C23" s="36"/>
      <c r="D23" s="42" t="s">
        <v>38</v>
      </c>
      <c r="E23" s="37">
        <f>E22/2*0.4</f>
        <v>20</v>
      </c>
      <c r="F23" s="38"/>
    </row>
    <row r="24" spans="2:6" ht="31.2" x14ac:dyDescent="0.3">
      <c r="B24" s="19" t="s">
        <v>109</v>
      </c>
      <c r="C24" s="24" t="s">
        <v>61</v>
      </c>
      <c r="D24" s="21" t="s">
        <v>38</v>
      </c>
      <c r="E24" s="22">
        <f>2*(0.31+0.66)/2*0.35*100</f>
        <v>33.949999999999996</v>
      </c>
      <c r="F24" s="21"/>
    </row>
    <row r="25" spans="2:6" ht="46.8" x14ac:dyDescent="0.3">
      <c r="B25" s="19" t="s">
        <v>110</v>
      </c>
      <c r="C25" s="24" t="s">
        <v>67</v>
      </c>
      <c r="D25" s="21" t="s">
        <v>38</v>
      </c>
      <c r="E25" s="22">
        <f>7*0.15*100</f>
        <v>105</v>
      </c>
      <c r="F25" s="21"/>
    </row>
    <row r="26" spans="2:6" ht="51" customHeight="1" x14ac:dyDescent="0.3">
      <c r="B26" s="19" t="s">
        <v>111</v>
      </c>
      <c r="C26" s="20" t="s">
        <v>68</v>
      </c>
      <c r="D26" s="21" t="s">
        <v>38</v>
      </c>
      <c r="E26" s="22">
        <f>7*0.16*100</f>
        <v>112.00000000000001</v>
      </c>
      <c r="F26" s="21"/>
    </row>
  </sheetData>
  <mergeCells count="9">
    <mergeCell ref="B6:F6"/>
    <mergeCell ref="B11:F11"/>
    <mergeCell ref="B14:F14"/>
    <mergeCell ref="B2:B3"/>
    <mergeCell ref="C2:C3"/>
    <mergeCell ref="D2:D3"/>
    <mergeCell ref="E2:E3"/>
    <mergeCell ref="F2:F3"/>
    <mergeCell ref="B5:F5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view="pageBreakPreview" topLeftCell="A19" zoomScaleNormal="100" zoomScaleSheetLayoutView="100" workbookViewId="0">
      <selection activeCell="B28" sqref="B28"/>
    </sheetView>
  </sheetViews>
  <sheetFormatPr defaultRowHeight="15.6" x14ac:dyDescent="0.3"/>
  <cols>
    <col min="1" max="1" width="1" style="17" customWidth="1"/>
    <col min="2" max="2" width="7.21875" style="23" customWidth="1"/>
    <col min="3" max="3" width="41.3320312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1" spans="2:6" ht="7.8" customHeight="1" x14ac:dyDescent="0.3"/>
    <row r="2" spans="2:6" ht="11.4" customHeight="1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ht="10.8" customHeight="1" x14ac:dyDescent="0.3">
      <c r="B3" s="66"/>
      <c r="C3" s="66"/>
      <c r="D3" s="66"/>
      <c r="E3" s="66"/>
      <c r="F3" s="66"/>
    </row>
    <row r="4" spans="2:6" x14ac:dyDescent="0.3">
      <c r="B4" s="27">
        <v>1</v>
      </c>
      <c r="C4" s="27">
        <v>2</v>
      </c>
      <c r="D4" s="27">
        <v>3</v>
      </c>
      <c r="E4" s="27">
        <v>4</v>
      </c>
      <c r="F4" s="27">
        <v>5</v>
      </c>
    </row>
    <row r="5" spans="2:6" ht="52.2" customHeight="1" x14ac:dyDescent="0.3">
      <c r="B5" s="63" t="s">
        <v>69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8" customHeight="1" x14ac:dyDescent="0.3">
      <c r="B7" s="19" t="s">
        <v>112</v>
      </c>
      <c r="C7" s="20" t="s">
        <v>55</v>
      </c>
      <c r="D7" s="28" t="s">
        <v>38</v>
      </c>
      <c r="E7" s="48">
        <v>47</v>
      </c>
      <c r="F7" s="26"/>
    </row>
    <row r="8" spans="2:6" ht="49.2" customHeight="1" x14ac:dyDescent="0.3">
      <c r="B8" s="19" t="s">
        <v>113</v>
      </c>
      <c r="C8" s="20" t="s">
        <v>50</v>
      </c>
      <c r="D8" s="21" t="s">
        <v>38</v>
      </c>
      <c r="E8" s="48">
        <v>5</v>
      </c>
      <c r="F8" s="21"/>
    </row>
    <row r="9" spans="2:6" ht="31.8" customHeight="1" x14ac:dyDescent="0.3">
      <c r="B9" s="19" t="s">
        <v>114</v>
      </c>
      <c r="C9" s="20" t="s">
        <v>51</v>
      </c>
      <c r="D9" s="21" t="s">
        <v>38</v>
      </c>
      <c r="E9" s="48">
        <v>5</v>
      </c>
      <c r="F9" s="21"/>
    </row>
    <row r="10" spans="2:6" ht="46.2" customHeight="1" x14ac:dyDescent="0.3">
      <c r="B10" s="19" t="s">
        <v>115</v>
      </c>
      <c r="C10" s="20" t="s">
        <v>49</v>
      </c>
      <c r="D10" s="21" t="s">
        <v>38</v>
      </c>
      <c r="E10" s="48">
        <v>47</v>
      </c>
      <c r="F10" s="21"/>
    </row>
    <row r="11" spans="2:6" x14ac:dyDescent="0.3">
      <c r="B11" s="64" t="s">
        <v>39</v>
      </c>
      <c r="C11" s="64"/>
      <c r="D11" s="64"/>
      <c r="E11" s="64"/>
      <c r="F11" s="64"/>
    </row>
    <row r="12" spans="2:6" ht="31.2" x14ac:dyDescent="0.3">
      <c r="B12" s="19" t="s">
        <v>116</v>
      </c>
      <c r="C12" s="20" t="s">
        <v>47</v>
      </c>
      <c r="D12" s="29" t="s">
        <v>44</v>
      </c>
      <c r="E12" s="22">
        <f>(2.8+7+0.7)*100</f>
        <v>1050</v>
      </c>
      <c r="F12" s="18"/>
    </row>
    <row r="13" spans="2:6" ht="31.2" x14ac:dyDescent="0.3">
      <c r="B13" s="19" t="s">
        <v>117</v>
      </c>
      <c r="C13" s="20" t="s">
        <v>40</v>
      </c>
      <c r="D13" s="28" t="s">
        <v>38</v>
      </c>
      <c r="E13" s="25">
        <f>7*100*0.4</f>
        <v>280</v>
      </c>
      <c r="F13" s="18"/>
    </row>
    <row r="14" spans="2:6" x14ac:dyDescent="0.3">
      <c r="B14" s="64" t="s">
        <v>41</v>
      </c>
      <c r="C14" s="64"/>
      <c r="D14" s="64"/>
      <c r="E14" s="64"/>
      <c r="F14" s="64"/>
    </row>
    <row r="15" spans="2:6" ht="47.4" customHeight="1" x14ac:dyDescent="0.3">
      <c r="B15" s="30" t="s">
        <v>118</v>
      </c>
      <c r="C15" s="31" t="s">
        <v>70</v>
      </c>
      <c r="D15" s="32"/>
      <c r="E15" s="33"/>
      <c r="F15" s="34"/>
    </row>
    <row r="16" spans="2:6" ht="18.600000000000001" x14ac:dyDescent="0.3">
      <c r="B16" s="39"/>
      <c r="C16" s="40"/>
      <c r="D16" s="41" t="s">
        <v>44</v>
      </c>
      <c r="E16" s="43">
        <f>(2.8+0.7)*100</f>
        <v>350</v>
      </c>
      <c r="F16" s="44"/>
    </row>
    <row r="17" spans="2:6" ht="18.600000000000001" x14ac:dyDescent="0.3">
      <c r="B17" s="35"/>
      <c r="C17" s="36"/>
      <c r="D17" s="42" t="s">
        <v>38</v>
      </c>
      <c r="E17" s="37">
        <f>E16*0.17*1.06</f>
        <v>63.070000000000007</v>
      </c>
      <c r="F17" s="38"/>
    </row>
    <row r="18" spans="2:6" ht="47.4" customHeight="1" x14ac:dyDescent="0.3">
      <c r="B18" s="30" t="s">
        <v>119</v>
      </c>
      <c r="C18" s="31" t="s">
        <v>53</v>
      </c>
      <c r="D18" s="32" t="s">
        <v>44</v>
      </c>
      <c r="E18" s="33">
        <f>(0.7+2.8+7+0.6)*100</f>
        <v>1110</v>
      </c>
      <c r="F18" s="34"/>
    </row>
    <row r="19" spans="2:6" ht="18.600000000000001" x14ac:dyDescent="0.3">
      <c r="B19" s="35"/>
      <c r="C19" s="36" t="s">
        <v>42</v>
      </c>
      <c r="D19" s="45" t="s">
        <v>44</v>
      </c>
      <c r="E19" s="37">
        <f>E18*1.2</f>
        <v>1332</v>
      </c>
      <c r="F19" s="38"/>
    </row>
    <row r="20" spans="2:6" ht="46.8" x14ac:dyDescent="0.3">
      <c r="B20" s="19" t="s">
        <v>120</v>
      </c>
      <c r="C20" s="24" t="s">
        <v>54</v>
      </c>
      <c r="D20" s="21" t="s">
        <v>38</v>
      </c>
      <c r="E20" s="22">
        <f>0.8*0.1*100</f>
        <v>8.0000000000000018</v>
      </c>
      <c r="F20" s="21"/>
    </row>
    <row r="21" spans="2:6" ht="45.6" customHeight="1" x14ac:dyDescent="0.3">
      <c r="B21" s="30" t="s">
        <v>121</v>
      </c>
      <c r="C21" s="31" t="s">
        <v>60</v>
      </c>
      <c r="D21" s="32"/>
      <c r="E21" s="33"/>
      <c r="F21" s="34"/>
    </row>
    <row r="22" spans="2:6" x14ac:dyDescent="0.3">
      <c r="B22" s="39"/>
      <c r="C22" s="40"/>
      <c r="D22" s="41" t="s">
        <v>56</v>
      </c>
      <c r="E22" s="43">
        <v>100</v>
      </c>
      <c r="F22" s="44"/>
    </row>
    <row r="23" spans="2:6" ht="18.600000000000001" x14ac:dyDescent="0.3">
      <c r="B23" s="35"/>
      <c r="C23" s="36"/>
      <c r="D23" s="42" t="s">
        <v>38</v>
      </c>
      <c r="E23" s="37">
        <f>E22/2*0.4</f>
        <v>20</v>
      </c>
      <c r="F23" s="38"/>
    </row>
    <row r="24" spans="2:6" ht="31.2" x14ac:dyDescent="0.3">
      <c r="B24" s="19" t="s">
        <v>122</v>
      </c>
      <c r="C24" s="24" t="s">
        <v>61</v>
      </c>
      <c r="D24" s="21" t="s">
        <v>38</v>
      </c>
      <c r="E24" s="22">
        <f>2*(0.31+0.66)/2*0.35*100</f>
        <v>33.949999999999996</v>
      </c>
      <c r="F24" s="21"/>
    </row>
    <row r="25" spans="2:6" ht="62.4" x14ac:dyDescent="0.3">
      <c r="B25" s="19" t="s">
        <v>123</v>
      </c>
      <c r="C25" s="24" t="s">
        <v>71</v>
      </c>
      <c r="D25" s="29" t="s">
        <v>44</v>
      </c>
      <c r="E25" s="22">
        <f>(7+2.8+0.7)*100*1.4</f>
        <v>1470</v>
      </c>
      <c r="F25" s="21"/>
    </row>
    <row r="26" spans="2:6" ht="31.2" x14ac:dyDescent="0.3">
      <c r="B26" s="19" t="s">
        <v>124</v>
      </c>
      <c r="C26" s="24" t="s">
        <v>72</v>
      </c>
      <c r="D26" s="21" t="s">
        <v>38</v>
      </c>
      <c r="E26" s="22">
        <f>7*100*0.17</f>
        <v>119.00000000000001</v>
      </c>
      <c r="F26" s="21"/>
    </row>
    <row r="27" spans="2:6" ht="51" customHeight="1" x14ac:dyDescent="0.3">
      <c r="B27" s="19" t="s">
        <v>125</v>
      </c>
      <c r="C27" s="24" t="s">
        <v>73</v>
      </c>
      <c r="D27" s="21" t="s">
        <v>38</v>
      </c>
      <c r="E27" s="22">
        <f>(7+2.8+0.7)*0.05*100</f>
        <v>52.5</v>
      </c>
      <c r="F27" s="21"/>
    </row>
  </sheetData>
  <mergeCells count="9">
    <mergeCell ref="B6:F6"/>
    <mergeCell ref="B11:F11"/>
    <mergeCell ref="B14:F14"/>
    <mergeCell ref="B2:B3"/>
    <mergeCell ref="C2:C3"/>
    <mergeCell ref="D2:D3"/>
    <mergeCell ref="E2:E3"/>
    <mergeCell ref="F2:F3"/>
    <mergeCell ref="B5:F5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abSelected="1" view="pageBreakPreview" topLeftCell="A10" zoomScaleNormal="100" zoomScaleSheetLayoutView="100" workbookViewId="0">
      <selection activeCell="I17" sqref="I17"/>
    </sheetView>
  </sheetViews>
  <sheetFormatPr defaultRowHeight="15.6" x14ac:dyDescent="0.3"/>
  <cols>
    <col min="1" max="1" width="1" style="17" customWidth="1"/>
    <col min="2" max="2" width="7.21875" style="23" customWidth="1"/>
    <col min="3" max="3" width="41.3320312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1" spans="2:6" ht="7.8" customHeight="1" x14ac:dyDescent="0.3"/>
    <row r="2" spans="2:6" ht="11.4" customHeight="1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ht="10.8" customHeight="1" x14ac:dyDescent="0.3">
      <c r="B3" s="66"/>
      <c r="C3" s="66"/>
      <c r="D3" s="66"/>
      <c r="E3" s="66"/>
      <c r="F3" s="66"/>
    </row>
    <row r="4" spans="2:6" x14ac:dyDescent="0.3">
      <c r="B4" s="27">
        <v>1</v>
      </c>
      <c r="C4" s="27">
        <v>2</v>
      </c>
      <c r="D4" s="27">
        <v>3</v>
      </c>
      <c r="E4" s="27">
        <v>4</v>
      </c>
      <c r="F4" s="27">
        <v>5</v>
      </c>
    </row>
    <row r="5" spans="2:6" ht="45.6" customHeight="1" x14ac:dyDescent="0.3">
      <c r="B5" s="63" t="s">
        <v>74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8" customHeight="1" x14ac:dyDescent="0.3">
      <c r="B7" s="19" t="s">
        <v>126</v>
      </c>
      <c r="C7" s="20" t="s">
        <v>75</v>
      </c>
      <c r="D7" s="28" t="s">
        <v>38</v>
      </c>
      <c r="E7" s="48">
        <v>120</v>
      </c>
      <c r="F7" s="26"/>
    </row>
    <row r="8" spans="2:6" ht="46.2" customHeight="1" x14ac:dyDescent="0.3">
      <c r="B8" s="19" t="s">
        <v>127</v>
      </c>
      <c r="C8" s="20" t="s">
        <v>50</v>
      </c>
      <c r="D8" s="21" t="s">
        <v>38</v>
      </c>
      <c r="E8" s="48">
        <v>13</v>
      </c>
      <c r="F8" s="21"/>
    </row>
    <row r="9" spans="2:6" ht="30" customHeight="1" x14ac:dyDescent="0.3">
      <c r="B9" s="19" t="s">
        <v>128</v>
      </c>
      <c r="C9" s="20" t="s">
        <v>51</v>
      </c>
      <c r="D9" s="21" t="s">
        <v>38</v>
      </c>
      <c r="E9" s="48">
        <v>13</v>
      </c>
      <c r="F9" s="21"/>
    </row>
    <row r="10" spans="2:6" ht="45.6" customHeight="1" x14ac:dyDescent="0.3">
      <c r="B10" s="19" t="s">
        <v>129</v>
      </c>
      <c r="C10" s="20" t="s">
        <v>49</v>
      </c>
      <c r="D10" s="21" t="s">
        <v>38</v>
      </c>
      <c r="E10" s="48">
        <v>120</v>
      </c>
      <c r="F10" s="21"/>
    </row>
    <row r="11" spans="2:6" x14ac:dyDescent="0.3">
      <c r="B11" s="64" t="s">
        <v>39</v>
      </c>
      <c r="C11" s="64"/>
      <c r="D11" s="64"/>
      <c r="E11" s="64"/>
      <c r="F11" s="64"/>
    </row>
    <row r="12" spans="2:6" ht="29.4" customHeight="1" x14ac:dyDescent="0.3">
      <c r="B12" s="19" t="s">
        <v>130</v>
      </c>
      <c r="C12" s="20" t="s">
        <v>47</v>
      </c>
      <c r="D12" s="29" t="s">
        <v>44</v>
      </c>
      <c r="E12" s="22">
        <f>(0.5+2.8+7)*100</f>
        <v>1030</v>
      </c>
      <c r="F12" s="18"/>
    </row>
    <row r="13" spans="2:6" ht="31.2" x14ac:dyDescent="0.3">
      <c r="B13" s="19" t="s">
        <v>131</v>
      </c>
      <c r="C13" s="20" t="s">
        <v>40</v>
      </c>
      <c r="D13" s="28" t="s">
        <v>38</v>
      </c>
      <c r="E13" s="25">
        <f>(E12-E16)*0.4</f>
        <v>280</v>
      </c>
      <c r="F13" s="18"/>
    </row>
    <row r="14" spans="2:6" x14ac:dyDescent="0.3">
      <c r="B14" s="64" t="s">
        <v>41</v>
      </c>
      <c r="C14" s="64"/>
      <c r="D14" s="64"/>
      <c r="E14" s="64"/>
      <c r="F14" s="64"/>
    </row>
    <row r="15" spans="2:6" ht="47.4" customHeight="1" x14ac:dyDescent="0.3">
      <c r="B15" s="30" t="s">
        <v>132</v>
      </c>
      <c r="C15" s="31" t="s">
        <v>158</v>
      </c>
      <c r="D15" s="32"/>
      <c r="E15" s="33"/>
      <c r="F15" s="34"/>
    </row>
    <row r="16" spans="2:6" ht="15.6" customHeight="1" x14ac:dyDescent="0.3">
      <c r="B16" s="39"/>
      <c r="C16" s="40"/>
      <c r="D16" s="41" t="s">
        <v>44</v>
      </c>
      <c r="E16" s="43">
        <f>(0.5+2.8)*100</f>
        <v>330</v>
      </c>
      <c r="F16" s="44"/>
    </row>
    <row r="17" spans="2:6" ht="16.2" customHeight="1" x14ac:dyDescent="0.3">
      <c r="B17" s="35"/>
      <c r="C17" s="36"/>
      <c r="D17" s="42" t="s">
        <v>38</v>
      </c>
      <c r="E17" s="37">
        <f>E16*0.37*1.05</f>
        <v>128.20500000000001</v>
      </c>
      <c r="F17" s="38"/>
    </row>
    <row r="18" spans="2:6" ht="47.4" customHeight="1" x14ac:dyDescent="0.3">
      <c r="B18" s="30" t="s">
        <v>133</v>
      </c>
      <c r="C18" s="31" t="s">
        <v>76</v>
      </c>
      <c r="D18" s="32" t="s">
        <v>44</v>
      </c>
      <c r="E18" s="33">
        <f>(0.5+7+1+1+0.5)*100</f>
        <v>1000</v>
      </c>
      <c r="F18" s="34"/>
    </row>
    <row r="19" spans="2:6" ht="16.2" customHeight="1" x14ac:dyDescent="0.3">
      <c r="B19" s="35"/>
      <c r="C19" s="36" t="s">
        <v>42</v>
      </c>
      <c r="D19" s="45" t="s">
        <v>44</v>
      </c>
      <c r="E19" s="37">
        <f>E18*1.2</f>
        <v>1200</v>
      </c>
      <c r="F19" s="38"/>
    </row>
    <row r="20" spans="2:6" ht="46.8" x14ac:dyDescent="0.3">
      <c r="B20" s="19" t="s">
        <v>134</v>
      </c>
      <c r="C20" s="24" t="s">
        <v>138</v>
      </c>
      <c r="D20" s="21" t="s">
        <v>38</v>
      </c>
      <c r="E20" s="22">
        <f>(7+1.2+1.2+0.5)*100*0.2</f>
        <v>198</v>
      </c>
      <c r="F20" s="21"/>
    </row>
    <row r="21" spans="2:6" ht="31.8" customHeight="1" x14ac:dyDescent="0.3">
      <c r="B21" s="30" t="s">
        <v>135</v>
      </c>
      <c r="C21" s="31" t="s">
        <v>139</v>
      </c>
      <c r="D21" s="32"/>
      <c r="E21" s="33"/>
      <c r="F21" s="34"/>
    </row>
    <row r="22" spans="2:6" ht="14.4" customHeight="1" x14ac:dyDescent="0.3">
      <c r="B22" s="39"/>
      <c r="C22" s="40"/>
      <c r="D22" s="41" t="s">
        <v>56</v>
      </c>
      <c r="E22" s="43">
        <v>100</v>
      </c>
      <c r="F22" s="44"/>
    </row>
    <row r="23" spans="2:6" ht="14.4" customHeight="1" x14ac:dyDescent="0.3">
      <c r="B23" s="39"/>
      <c r="C23" s="40"/>
      <c r="D23" s="41" t="s">
        <v>1</v>
      </c>
      <c r="E23" s="43">
        <f>E22/2</f>
        <v>50</v>
      </c>
      <c r="F23" s="44"/>
    </row>
    <row r="24" spans="2:6" ht="15" customHeight="1" x14ac:dyDescent="0.3">
      <c r="B24" s="35"/>
      <c r="C24" s="36"/>
      <c r="D24" s="42" t="s">
        <v>38</v>
      </c>
      <c r="E24" s="37">
        <f>1*1*2*E23</f>
        <v>100</v>
      </c>
      <c r="F24" s="38"/>
    </row>
    <row r="25" spans="2:6" ht="62.4" x14ac:dyDescent="0.3">
      <c r="B25" s="30" t="s">
        <v>136</v>
      </c>
      <c r="C25" s="52" t="s">
        <v>140</v>
      </c>
      <c r="D25" s="32"/>
      <c r="E25" s="54"/>
      <c r="F25" s="46"/>
    </row>
    <row r="26" spans="2:6" x14ac:dyDescent="0.3">
      <c r="B26" s="39"/>
      <c r="C26" s="51" t="s">
        <v>141</v>
      </c>
      <c r="D26" s="41" t="s">
        <v>142</v>
      </c>
      <c r="E26" s="49" t="s">
        <v>143</v>
      </c>
      <c r="F26" s="44"/>
    </row>
    <row r="27" spans="2:6" ht="14.4" customHeight="1" x14ac:dyDescent="0.3">
      <c r="B27" s="39"/>
      <c r="C27" s="51"/>
      <c r="D27" s="41" t="s">
        <v>44</v>
      </c>
      <c r="E27" s="49">
        <f>3*2*50</f>
        <v>300</v>
      </c>
      <c r="F27" s="44"/>
    </row>
    <row r="28" spans="2:6" x14ac:dyDescent="0.3">
      <c r="B28" s="39"/>
      <c r="C28" s="51" t="s">
        <v>144</v>
      </c>
      <c r="D28" s="41" t="s">
        <v>142</v>
      </c>
      <c r="E28" s="49" t="s">
        <v>143</v>
      </c>
      <c r="F28" s="44"/>
    </row>
    <row r="29" spans="2:6" ht="15.6" customHeight="1" x14ac:dyDescent="0.3">
      <c r="B29" s="39"/>
      <c r="C29" s="51"/>
      <c r="D29" s="41" t="s">
        <v>44</v>
      </c>
      <c r="E29" s="49">
        <f>4*2*50</f>
        <v>400</v>
      </c>
      <c r="F29" s="44"/>
    </row>
    <row r="30" spans="2:6" ht="31.2" x14ac:dyDescent="0.3">
      <c r="B30" s="35"/>
      <c r="C30" s="53" t="s">
        <v>145</v>
      </c>
      <c r="D30" s="42" t="s">
        <v>1</v>
      </c>
      <c r="E30" s="50">
        <f>(5+7)*50</f>
        <v>600</v>
      </c>
      <c r="F30" s="38"/>
    </row>
    <row r="31" spans="2:6" ht="46.8" x14ac:dyDescent="0.3">
      <c r="B31" s="19" t="s">
        <v>137</v>
      </c>
      <c r="C31" s="24" t="s">
        <v>146</v>
      </c>
      <c r="D31" s="21" t="s">
        <v>38</v>
      </c>
      <c r="E31" s="22">
        <f>(7*100*0.17)+(1*1*100)</f>
        <v>219</v>
      </c>
      <c r="F31" s="21"/>
    </row>
  </sheetData>
  <mergeCells count="9">
    <mergeCell ref="B6:F6"/>
    <mergeCell ref="B11:F11"/>
    <mergeCell ref="B14:F14"/>
    <mergeCell ref="B2:B3"/>
    <mergeCell ref="C2:C3"/>
    <mergeCell ref="D2:D3"/>
    <mergeCell ref="E2:E3"/>
    <mergeCell ref="F2:F3"/>
    <mergeCell ref="B5:F5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view="pageBreakPreview" zoomScaleNormal="100" zoomScaleSheetLayoutView="100" workbookViewId="0">
      <selection activeCell="H8" sqref="H8"/>
    </sheetView>
  </sheetViews>
  <sheetFormatPr defaultRowHeight="15.6" x14ac:dyDescent="0.3"/>
  <cols>
    <col min="1" max="1" width="1" style="17" customWidth="1"/>
    <col min="2" max="2" width="7.21875" style="23" customWidth="1"/>
    <col min="3" max="3" width="41.33203125" style="23" customWidth="1"/>
    <col min="4" max="4" width="10.77734375" style="23" customWidth="1"/>
    <col min="5" max="5" width="16.77734375" style="23" customWidth="1"/>
    <col min="6" max="6" width="14.77734375" style="23" customWidth="1"/>
    <col min="7" max="16384" width="8.88671875" style="17"/>
  </cols>
  <sheetData>
    <row r="1" spans="2:6" ht="7.8" customHeight="1" x14ac:dyDescent="0.3"/>
    <row r="2" spans="2:6" ht="11.4" customHeight="1" x14ac:dyDescent="0.3">
      <c r="B2" s="65" t="s">
        <v>32</v>
      </c>
      <c r="C2" s="65" t="s">
        <v>33</v>
      </c>
      <c r="D2" s="65" t="s">
        <v>34</v>
      </c>
      <c r="E2" s="65" t="s">
        <v>35</v>
      </c>
      <c r="F2" s="65" t="s">
        <v>36</v>
      </c>
    </row>
    <row r="3" spans="2:6" ht="10.8" customHeight="1" x14ac:dyDescent="0.3">
      <c r="B3" s="66"/>
      <c r="C3" s="66"/>
      <c r="D3" s="66"/>
      <c r="E3" s="66"/>
      <c r="F3" s="66"/>
    </row>
    <row r="4" spans="2:6" x14ac:dyDescent="0.3">
      <c r="B4" s="27">
        <v>1</v>
      </c>
      <c r="C4" s="27">
        <v>2</v>
      </c>
      <c r="D4" s="27">
        <v>3</v>
      </c>
      <c r="E4" s="27">
        <v>4</v>
      </c>
      <c r="F4" s="27">
        <v>5</v>
      </c>
    </row>
    <row r="5" spans="2:6" ht="52.2" customHeight="1" x14ac:dyDescent="0.3">
      <c r="B5" s="63" t="s">
        <v>147</v>
      </c>
      <c r="C5" s="63"/>
      <c r="D5" s="63"/>
      <c r="E5" s="63"/>
      <c r="F5" s="63"/>
    </row>
    <row r="6" spans="2:6" x14ac:dyDescent="0.3">
      <c r="B6" s="64" t="s">
        <v>37</v>
      </c>
      <c r="C6" s="64"/>
      <c r="D6" s="64"/>
      <c r="E6" s="64"/>
      <c r="F6" s="64"/>
    </row>
    <row r="7" spans="2:6" ht="48" customHeight="1" x14ac:dyDescent="0.3">
      <c r="B7" s="19" t="s">
        <v>148</v>
      </c>
      <c r="C7" s="20" t="s">
        <v>55</v>
      </c>
      <c r="D7" s="28" t="s">
        <v>38</v>
      </c>
      <c r="E7" s="48">
        <v>89</v>
      </c>
      <c r="F7" s="26"/>
    </row>
    <row r="8" spans="2:6" ht="49.2" customHeight="1" x14ac:dyDescent="0.3">
      <c r="B8" s="19" t="s">
        <v>149</v>
      </c>
      <c r="C8" s="20" t="s">
        <v>50</v>
      </c>
      <c r="D8" s="21" t="s">
        <v>38</v>
      </c>
      <c r="E8" s="48">
        <v>9</v>
      </c>
      <c r="F8" s="21"/>
    </row>
    <row r="9" spans="2:6" ht="31.8" customHeight="1" x14ac:dyDescent="0.3">
      <c r="B9" s="19" t="s">
        <v>150</v>
      </c>
      <c r="C9" s="20" t="s">
        <v>51</v>
      </c>
      <c r="D9" s="21" t="s">
        <v>38</v>
      </c>
      <c r="E9" s="48">
        <v>9</v>
      </c>
      <c r="F9" s="21"/>
    </row>
    <row r="10" spans="2:6" ht="46.2" customHeight="1" x14ac:dyDescent="0.3">
      <c r="B10" s="19" t="s">
        <v>151</v>
      </c>
      <c r="C10" s="20" t="s">
        <v>49</v>
      </c>
      <c r="D10" s="21" t="s">
        <v>38</v>
      </c>
      <c r="E10" s="48">
        <v>89</v>
      </c>
      <c r="F10" s="21"/>
    </row>
    <row r="11" spans="2:6" x14ac:dyDescent="0.3">
      <c r="B11" s="64" t="s">
        <v>39</v>
      </c>
      <c r="C11" s="64"/>
      <c r="D11" s="64"/>
      <c r="E11" s="64"/>
      <c r="F11" s="64"/>
    </row>
    <row r="12" spans="2:6" ht="31.2" x14ac:dyDescent="0.3">
      <c r="B12" s="19" t="s">
        <v>152</v>
      </c>
      <c r="C12" s="20" t="s">
        <v>47</v>
      </c>
      <c r="D12" s="29" t="s">
        <v>44</v>
      </c>
      <c r="E12" s="22">
        <f>(2.8+7+0.5)*100</f>
        <v>1030</v>
      </c>
      <c r="F12" s="18"/>
    </row>
    <row r="13" spans="2:6" ht="31.2" x14ac:dyDescent="0.3">
      <c r="B13" s="19" t="s">
        <v>153</v>
      </c>
      <c r="C13" s="20" t="s">
        <v>40</v>
      </c>
      <c r="D13" s="28" t="s">
        <v>38</v>
      </c>
      <c r="E13" s="25">
        <f>7*100*0.4</f>
        <v>280</v>
      </c>
      <c r="F13" s="18"/>
    </row>
    <row r="14" spans="2:6" x14ac:dyDescent="0.3">
      <c r="B14" s="64" t="s">
        <v>41</v>
      </c>
      <c r="C14" s="64"/>
      <c r="D14" s="64"/>
      <c r="E14" s="64"/>
      <c r="F14" s="64"/>
    </row>
    <row r="15" spans="2:6" ht="47.4" customHeight="1" x14ac:dyDescent="0.3">
      <c r="B15" s="30" t="s">
        <v>154</v>
      </c>
      <c r="C15" s="31" t="s">
        <v>48</v>
      </c>
      <c r="D15" s="32"/>
      <c r="E15" s="33"/>
      <c r="F15" s="34"/>
    </row>
    <row r="16" spans="2:6" ht="18.600000000000001" x14ac:dyDescent="0.3">
      <c r="B16" s="39"/>
      <c r="C16" s="40"/>
      <c r="D16" s="41" t="s">
        <v>44</v>
      </c>
      <c r="E16" s="43">
        <f>(2.8+0.5)*100</f>
        <v>330</v>
      </c>
      <c r="F16" s="44"/>
    </row>
    <row r="17" spans="2:6" ht="18.600000000000001" x14ac:dyDescent="0.3">
      <c r="B17" s="35"/>
      <c r="C17" s="36"/>
      <c r="D17" s="42" t="s">
        <v>38</v>
      </c>
      <c r="E17" s="37">
        <f>E16*0.15*1.05</f>
        <v>51.975000000000001</v>
      </c>
      <c r="F17" s="38"/>
    </row>
    <row r="18" spans="2:6" ht="31.2" x14ac:dyDescent="0.3">
      <c r="B18" s="19" t="s">
        <v>155</v>
      </c>
      <c r="C18" s="24" t="s">
        <v>61</v>
      </c>
      <c r="D18" s="21" t="s">
        <v>38</v>
      </c>
      <c r="E18" s="22">
        <f>(0.7+2.1)/2*0.7*100</f>
        <v>97.999999999999986</v>
      </c>
      <c r="F18" s="21"/>
    </row>
    <row r="19" spans="2:6" ht="31.2" x14ac:dyDescent="0.3">
      <c r="B19" s="19" t="s">
        <v>156</v>
      </c>
      <c r="C19" s="24" t="s">
        <v>157</v>
      </c>
      <c r="D19" s="21" t="s">
        <v>38</v>
      </c>
      <c r="E19" s="22">
        <f>(2.8+3.6)/2*0.5*100+(4.3+3.7)/2*0.7*100</f>
        <v>440</v>
      </c>
      <c r="F19" s="21"/>
    </row>
  </sheetData>
  <mergeCells count="9">
    <mergeCell ref="B6:F6"/>
    <mergeCell ref="B11:F11"/>
    <mergeCell ref="B14:F14"/>
    <mergeCell ref="B2:B3"/>
    <mergeCell ref="C2:C3"/>
    <mergeCell ref="D2:D3"/>
    <mergeCell ref="E2:E3"/>
    <mergeCell ref="F2:F3"/>
    <mergeCell ref="B5:F5"/>
  </mergeCells>
  <printOptions horizont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Ввод данных</vt:lpstr>
      <vt:lpstr>СВОР_вар_1_ПБЗГУ</vt:lpstr>
      <vt:lpstr>СВОР_вар_2_П-2</vt:lpstr>
      <vt:lpstr>СВОР_вар_3_мон бет</vt:lpstr>
      <vt:lpstr>СВОР_вар_4_георешетки</vt:lpstr>
      <vt:lpstr>СВОР_вар_5_матрацы</vt:lpstr>
      <vt:lpstr>СВОР_вар_6_камень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Buravleva</dc:creator>
  <cp:lastModifiedBy>СДФомин</cp:lastModifiedBy>
  <cp:lastPrinted>2023-12-23T08:54:06Z</cp:lastPrinted>
  <dcterms:created xsi:type="dcterms:W3CDTF">2002-02-11T05:58:42Z</dcterms:created>
  <dcterms:modified xsi:type="dcterms:W3CDTF">2023-12-24T15:52:04Z</dcterms:modified>
</cp:coreProperties>
</file>